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2.xml" ContentType="application/vnd.ms-excel.person+xml"/>
  <Override PartName="/xl/persons/person4.xml" ContentType="application/vnd.ms-excel.person+xml"/>
  <Override PartName="/xl/persons/person3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rracao - EM Prof Yvonne Miragaia Peruzzo\Documentos Oficiais\1 - Planilhas\"/>
    </mc:Choice>
  </mc:AlternateContent>
  <xr:revisionPtr revIDLastSave="0" documentId="13_ncr:1_{A8829770-3E9E-4127-9C6F-7A336AEEF684}" xr6:coauthVersionLast="47" xr6:coauthVersionMax="47" xr10:uidLastSave="{00000000-0000-0000-0000-000000000000}"/>
  <bookViews>
    <workbookView xWindow="-120" yWindow="-120" windowWidth="24240" windowHeight="13140" tabRatio="769" xr2:uid="{F4E007F8-5156-42EB-8F9B-4959554C11F8}"/>
  </bookViews>
  <sheets>
    <sheet name="ORÇAMENTO" sheetId="10" r:id="rId1"/>
    <sheet name="Composição" sheetId="11" r:id="rId2"/>
    <sheet name="CRONOGRAMA" sheetId="20" r:id="rId3"/>
  </sheets>
  <definedNames>
    <definedName name="_xlnm.Print_Area" localSheetId="1">Composição!$A$1:$G$90</definedName>
    <definedName name="_xlnm.Print_Area" localSheetId="2">CRONOGRAMA!$A$1:$K$47</definedName>
    <definedName name="_xlnm.Print_Area" localSheetId="0">ORÇAMENTO!$A$1:$I$207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2" i="10" l="1"/>
  <c r="G150" i="10"/>
  <c r="A25" i="20"/>
  <c r="A24" i="20"/>
  <c r="A23" i="20"/>
  <c r="A22" i="20"/>
  <c r="A21" i="20"/>
  <c r="A20" i="20"/>
  <c r="A19" i="20"/>
  <c r="A18" i="20"/>
  <c r="A17" i="20"/>
  <c r="F85" i="10" l="1"/>
  <c r="H85" i="10" s="1"/>
  <c r="I85" i="10" s="1"/>
  <c r="F78" i="10"/>
  <c r="F77" i="10"/>
  <c r="F76" i="10"/>
  <c r="H128" i="10"/>
  <c r="I128" i="10"/>
  <c r="F136" i="10" l="1"/>
  <c r="H113" i="10"/>
  <c r="I113" i="10" s="1"/>
  <c r="F112" i="10"/>
  <c r="H112" i="10" s="1"/>
  <c r="I112" i="10" s="1"/>
  <c r="F150" i="10"/>
  <c r="F152" i="10" s="1"/>
  <c r="F37" i="10"/>
  <c r="F67" i="10"/>
  <c r="F103" i="10" s="1"/>
  <c r="H103" i="10" s="1"/>
  <c r="I103" i="10" s="1"/>
  <c r="F180" i="10"/>
  <c r="F89" i="10"/>
  <c r="F87" i="10"/>
  <c r="F71" i="10"/>
  <c r="F70" i="10"/>
  <c r="F69" i="10"/>
  <c r="F68" i="10"/>
  <c r="F44" i="10"/>
  <c r="F41" i="10"/>
  <c r="F40" i="10"/>
  <c r="F39" i="10"/>
  <c r="F38" i="10"/>
  <c r="F26" i="10"/>
  <c r="F21" i="10"/>
  <c r="F20" i="10"/>
  <c r="F153" i="10"/>
  <c r="F88" i="10" l="1"/>
  <c r="H88" i="10" s="1"/>
  <c r="I88" i="10" s="1"/>
  <c r="H89" i="10"/>
  <c r="F173" i="10"/>
  <c r="H173" i="10" s="1"/>
  <c r="I173" i="10" s="1"/>
  <c r="H154" i="10"/>
  <c r="I154" i="10" s="1"/>
  <c r="I89" i="10" l="1"/>
  <c r="F116" i="10"/>
  <c r="H116" i="10" s="1"/>
  <c r="I116" i="10" s="1"/>
  <c r="F111" i="10"/>
  <c r="H111" i="10" s="1"/>
  <c r="I111" i="10" s="1"/>
  <c r="F156" i="10"/>
  <c r="H156" i="10" s="1"/>
  <c r="I156" i="10" s="1"/>
  <c r="F108" i="10"/>
  <c r="H108" i="10" s="1"/>
  <c r="I108" i="10" s="1"/>
  <c r="F109" i="10"/>
  <c r="H109" i="10" s="1"/>
  <c r="I109" i="10" s="1"/>
  <c r="H114" i="10"/>
  <c r="I114" i="10" s="1"/>
  <c r="F157" i="10"/>
  <c r="H157" i="10" s="1"/>
  <c r="I157" i="10" s="1"/>
  <c r="F158" i="10"/>
  <c r="H158" i="10" s="1"/>
  <c r="I158" i="10" s="1"/>
  <c r="E62" i="11"/>
  <c r="G62" i="11" s="1"/>
  <c r="E56" i="11"/>
  <c r="G56" i="11" s="1"/>
  <c r="G57" i="11"/>
  <c r="E61" i="11"/>
  <c r="G61" i="11" s="1"/>
  <c r="E60" i="11"/>
  <c r="G60" i="11" s="1"/>
  <c r="E59" i="11"/>
  <c r="G59" i="11" s="1"/>
  <c r="E58" i="11"/>
  <c r="G58" i="11" s="1"/>
  <c r="F117" i="10" l="1"/>
  <c r="H117" i="10" s="1"/>
  <c r="I117" i="10" s="1"/>
  <c r="G63" i="11"/>
  <c r="G115" i="10" s="1"/>
  <c r="H115" i="10" s="1"/>
  <c r="I115" i="10" s="1"/>
  <c r="G78" i="11"/>
  <c r="G77" i="11"/>
  <c r="G76" i="11"/>
  <c r="G70" i="11"/>
  <c r="G69" i="11"/>
  <c r="G68" i="11"/>
  <c r="H137" i="10"/>
  <c r="I137" i="10" s="1"/>
  <c r="H136" i="10"/>
  <c r="I136" i="10" s="1"/>
  <c r="G54" i="11" l="1"/>
  <c r="G79" i="11"/>
  <c r="G71" i="11"/>
  <c r="H127" i="10"/>
  <c r="I127" i="10" s="1"/>
  <c r="H126" i="10"/>
  <c r="I126" i="10" s="1"/>
  <c r="H123" i="10"/>
  <c r="I123" i="10" s="1"/>
  <c r="H122" i="10"/>
  <c r="I122" i="10" s="1"/>
  <c r="H121" i="10"/>
  <c r="I121" i="10" s="1"/>
  <c r="F142" i="10"/>
  <c r="H140" i="10"/>
  <c r="I140" i="10" s="1"/>
  <c r="H139" i="10"/>
  <c r="I139" i="10" s="1"/>
  <c r="H133" i="10"/>
  <c r="I133" i="10" s="1"/>
  <c r="H120" i="10"/>
  <c r="I120" i="10" s="1"/>
  <c r="H124" i="10"/>
  <c r="I124" i="10" s="1"/>
  <c r="H125" i="10"/>
  <c r="I125" i="10" s="1"/>
  <c r="H131" i="10"/>
  <c r="I131" i="10" s="1"/>
  <c r="H132" i="10"/>
  <c r="I132" i="10" s="1"/>
  <c r="H69" i="10"/>
  <c r="I69" i="10" s="1"/>
  <c r="H41" i="10"/>
  <c r="I41" i="10" s="1"/>
  <c r="H21" i="10"/>
  <c r="I21" i="10" s="1"/>
  <c r="H44" i="10"/>
  <c r="I44" i="10" s="1"/>
  <c r="H40" i="10"/>
  <c r="I40" i="10" s="1"/>
  <c r="H39" i="10"/>
  <c r="I39" i="10" s="1"/>
  <c r="H38" i="10"/>
  <c r="I38" i="10" s="1"/>
  <c r="H37" i="10"/>
  <c r="H153" i="10"/>
  <c r="F151" i="10"/>
  <c r="E50" i="11"/>
  <c r="G50" i="11" s="1"/>
  <c r="E49" i="11"/>
  <c r="G49" i="11" s="1"/>
  <c r="F84" i="10"/>
  <c r="H43" i="10"/>
  <c r="I43" i="10" s="1"/>
  <c r="H42" i="10"/>
  <c r="I42" i="10" s="1"/>
  <c r="I153" i="10" l="1"/>
  <c r="G51" i="11"/>
  <c r="G74" i="11"/>
  <c r="G130" i="10"/>
  <c r="H130" i="10" s="1"/>
  <c r="I130" i="10" s="1"/>
  <c r="G66" i="11"/>
  <c r="G129" i="10"/>
  <c r="H129" i="10" s="1"/>
  <c r="I129" i="10" s="1"/>
  <c r="H135" i="10"/>
  <c r="I135" i="10" s="1"/>
  <c r="H134" i="10"/>
  <c r="I134" i="10" s="1"/>
  <c r="I37" i="10"/>
  <c r="H152" i="10"/>
  <c r="I152" i="10" s="1"/>
  <c r="H151" i="10"/>
  <c r="I151" i="10" s="1"/>
  <c r="H150" i="10"/>
  <c r="F65" i="10"/>
  <c r="H65" i="10" s="1"/>
  <c r="I65" i="10" s="1"/>
  <c r="H148" i="10"/>
  <c r="I150" i="10" l="1"/>
  <c r="G47" i="11"/>
  <c r="G71" i="10"/>
  <c r="H71" i="10" s="1"/>
  <c r="I71" i="10" s="1"/>
  <c r="I148" i="10"/>
  <c r="H144" i="10"/>
  <c r="H142" i="10"/>
  <c r="I142" i="10" s="1"/>
  <c r="H180" i="10"/>
  <c r="H181" i="10" s="1"/>
  <c r="F102" i="10"/>
  <c r="H102" i="10" s="1"/>
  <c r="I102" i="10" s="1"/>
  <c r="H175" i="10"/>
  <c r="I175" i="10" s="1"/>
  <c r="H174" i="10"/>
  <c r="I174" i="10" s="1"/>
  <c r="H172" i="10"/>
  <c r="I172" i="10" s="1"/>
  <c r="H171" i="10"/>
  <c r="I171" i="10" s="1"/>
  <c r="H170" i="10"/>
  <c r="I170" i="10" s="1"/>
  <c r="H169" i="10"/>
  <c r="I169" i="10" s="1"/>
  <c r="H168" i="10"/>
  <c r="I168" i="10" s="1"/>
  <c r="H167" i="10"/>
  <c r="I167" i="10" s="1"/>
  <c r="H166" i="10"/>
  <c r="I166" i="10" s="1"/>
  <c r="H165" i="10"/>
  <c r="I165" i="10" s="1"/>
  <c r="H164" i="10"/>
  <c r="I164" i="10" s="1"/>
  <c r="H163" i="10"/>
  <c r="H147" i="10"/>
  <c r="I147" i="10" s="1"/>
  <c r="H146" i="10"/>
  <c r="I146" i="10" s="1"/>
  <c r="H145" i="10"/>
  <c r="I145" i="10" s="1"/>
  <c r="H143" i="10"/>
  <c r="I143" i="10" s="1"/>
  <c r="H141" i="10"/>
  <c r="I141" i="10" s="1"/>
  <c r="H119" i="10"/>
  <c r="H95" i="10"/>
  <c r="I95" i="10" s="1"/>
  <c r="H78" i="10"/>
  <c r="I78" i="10" s="1"/>
  <c r="H77" i="10"/>
  <c r="I77" i="10" s="1"/>
  <c r="H76" i="10"/>
  <c r="H62" i="10"/>
  <c r="I62" i="10" s="1"/>
  <c r="H61" i="10"/>
  <c r="I61" i="10" s="1"/>
  <c r="H58" i="10"/>
  <c r="I58" i="10" s="1"/>
  <c r="H57" i="10"/>
  <c r="I57" i="10" s="1"/>
  <c r="H56" i="10"/>
  <c r="I56" i="10" s="1"/>
  <c r="H55" i="10"/>
  <c r="I55" i="10" s="1"/>
  <c r="H53" i="10"/>
  <c r="I53" i="10" s="1"/>
  <c r="H52" i="10"/>
  <c r="I52" i="10" s="1"/>
  <c r="H51" i="10"/>
  <c r="I51" i="10" s="1"/>
  <c r="H50" i="10"/>
  <c r="I50" i="10" s="1"/>
  <c r="H49" i="10"/>
  <c r="H35" i="10"/>
  <c r="I35" i="10" s="1"/>
  <c r="H34" i="10"/>
  <c r="I34" i="10" s="1"/>
  <c r="H33" i="10"/>
  <c r="I33" i="10" s="1"/>
  <c r="H32" i="10"/>
  <c r="I32" i="10" s="1"/>
  <c r="H31" i="10"/>
  <c r="I31" i="10" s="1"/>
  <c r="H30" i="10"/>
  <c r="I30" i="10" s="1"/>
  <c r="H29" i="10"/>
  <c r="I29" i="10" s="1"/>
  <c r="H28" i="10"/>
  <c r="I28" i="10" s="1"/>
  <c r="H19" i="10"/>
  <c r="I19" i="10" s="1"/>
  <c r="G43" i="11"/>
  <c r="G42" i="11"/>
  <c r="G34" i="11"/>
  <c r="G33" i="11"/>
  <c r="G32" i="11"/>
  <c r="G31" i="11"/>
  <c r="G30" i="11"/>
  <c r="G29" i="11"/>
  <c r="G22" i="11"/>
  <c r="G19" i="11"/>
  <c r="G18" i="11"/>
  <c r="F101" i="10"/>
  <c r="H101" i="10" s="1"/>
  <c r="I101" i="10" s="1"/>
  <c r="F100" i="10"/>
  <c r="H100" i="10" s="1"/>
  <c r="I100" i="10" s="1"/>
  <c r="F96" i="10"/>
  <c r="F94" i="10"/>
  <c r="H94" i="10" s="1"/>
  <c r="H96" i="10" l="1"/>
  <c r="I96" i="10" s="1"/>
  <c r="F98" i="10"/>
  <c r="H98" i="10" s="1"/>
  <c r="I98" i="10" s="1"/>
  <c r="F99" i="10"/>
  <c r="H99" i="10" s="1"/>
  <c r="I99" i="10" s="1"/>
  <c r="H159" i="10"/>
  <c r="I49" i="10"/>
  <c r="I163" i="10"/>
  <c r="I176" i="10" s="1"/>
  <c r="B24" i="20" s="1"/>
  <c r="H176" i="10"/>
  <c r="I76" i="10"/>
  <c r="I79" i="10" s="1"/>
  <c r="B20" i="20" s="1"/>
  <c r="H79" i="10"/>
  <c r="I119" i="10"/>
  <c r="I144" i="10"/>
  <c r="K103" i="10"/>
  <c r="M103" i="10"/>
  <c r="O103" i="10"/>
  <c r="Q103" i="10"/>
  <c r="S103" i="10"/>
  <c r="I94" i="10"/>
  <c r="I180" i="10"/>
  <c r="I181" i="10" s="1"/>
  <c r="B25" i="20" s="1"/>
  <c r="O96" i="10"/>
  <c r="M96" i="10"/>
  <c r="S96" i="10"/>
  <c r="K96" i="10"/>
  <c r="Q96" i="10"/>
  <c r="D20" i="20" l="1"/>
  <c r="H20" i="20"/>
  <c r="J20" i="20"/>
  <c r="F20" i="20"/>
  <c r="J24" i="20"/>
  <c r="H24" i="20"/>
  <c r="D24" i="20"/>
  <c r="F24" i="20"/>
  <c r="J25" i="20"/>
  <c r="D25" i="20"/>
  <c r="H25" i="20"/>
  <c r="F25" i="20"/>
  <c r="H104" i="10"/>
  <c r="I104" i="10"/>
  <c r="B22" i="20" s="1"/>
  <c r="I159" i="10"/>
  <c r="B23" i="20" s="1"/>
  <c r="J23" i="20" s="1"/>
  <c r="Q95" i="10"/>
  <c r="S95" i="10"/>
  <c r="O95" i="10"/>
  <c r="K95" i="10"/>
  <c r="M95" i="10"/>
  <c r="E41" i="11"/>
  <c r="G41" i="11" s="1"/>
  <c r="G44" i="11" s="1"/>
  <c r="G70" i="10" s="1"/>
  <c r="H70" i="10" s="1"/>
  <c r="I70" i="10" s="1"/>
  <c r="H22" i="20" l="1"/>
  <c r="D22" i="20"/>
  <c r="J22" i="20"/>
  <c r="F22" i="20"/>
  <c r="H23" i="20"/>
  <c r="D23" i="20"/>
  <c r="F23" i="20"/>
  <c r="H84" i="10"/>
  <c r="I84" i="10" s="1"/>
  <c r="H87" i="10" l="1"/>
  <c r="F83" i="10"/>
  <c r="H83" i="10" s="1"/>
  <c r="H68" i="10"/>
  <c r="I68" i="10" s="1"/>
  <c r="I87" i="10" l="1"/>
  <c r="H90" i="10"/>
  <c r="I83" i="10"/>
  <c r="H67" i="10"/>
  <c r="I67" i="10" s="1"/>
  <c r="H20" i="10"/>
  <c r="I90" i="10" l="1"/>
  <c r="B21" i="20" s="1"/>
  <c r="I20" i="10"/>
  <c r="F64" i="10"/>
  <c r="H64" i="10" s="1"/>
  <c r="E35" i="11"/>
  <c r="G35" i="11" s="1"/>
  <c r="G36" i="11" s="1"/>
  <c r="D21" i="20" l="1"/>
  <c r="F21" i="20"/>
  <c r="H21" i="20"/>
  <c r="J21" i="20"/>
  <c r="G27" i="11"/>
  <c r="G59" i="10"/>
  <c r="H59" i="10" s="1"/>
  <c r="H72" i="10" s="1"/>
  <c r="I64" i="10"/>
  <c r="E23" i="11"/>
  <c r="G23" i="11" s="1"/>
  <c r="E21" i="11"/>
  <c r="G21" i="11" s="1"/>
  <c r="E20" i="11"/>
  <c r="G20" i="11" s="1"/>
  <c r="I59" i="10" l="1"/>
  <c r="I72" i="10" s="1"/>
  <c r="B19" i="20" s="1"/>
  <c r="J19" i="20" l="1"/>
  <c r="D19" i="20"/>
  <c r="H19" i="20"/>
  <c r="F19" i="20"/>
  <c r="G15" i="11" l="1"/>
  <c r="E16" i="11" l="1"/>
  <c r="G16" i="11" s="1"/>
  <c r="E17" i="11"/>
  <c r="G17" i="11" s="1"/>
  <c r="F18" i="10"/>
  <c r="H18" i="10" s="1"/>
  <c r="H22" i="10" s="1"/>
  <c r="S185" i="10"/>
  <c r="Q185" i="10"/>
  <c r="O185" i="10"/>
  <c r="M185" i="10"/>
  <c r="K185" i="10"/>
  <c r="S182" i="10"/>
  <c r="Q182" i="10"/>
  <c r="O182" i="10"/>
  <c r="M182" i="10"/>
  <c r="K182" i="10"/>
  <c r="O181" i="10"/>
  <c r="M102" i="10"/>
  <c r="M101" i="10"/>
  <c r="S91" i="10"/>
  <c r="Q91" i="10"/>
  <c r="O91" i="10"/>
  <c r="M91" i="10"/>
  <c r="K91" i="10"/>
  <c r="Q83" i="10"/>
  <c r="S80" i="10"/>
  <c r="Q80" i="10"/>
  <c r="O80" i="10"/>
  <c r="M80" i="10"/>
  <c r="K80" i="10"/>
  <c r="O79" i="10"/>
  <c r="M78" i="10"/>
  <c r="M77" i="10"/>
  <c r="S73" i="10"/>
  <c r="Q73" i="10"/>
  <c r="O73" i="10"/>
  <c r="M73" i="10"/>
  <c r="K73" i="10"/>
  <c r="S46" i="10"/>
  <c r="Q46" i="10"/>
  <c r="O46" i="10"/>
  <c r="M46" i="10"/>
  <c r="K46" i="10"/>
  <c r="S22" i="10"/>
  <c r="I18" i="10" l="1"/>
  <c r="I22" i="10" s="1"/>
  <c r="B17" i="20" s="1"/>
  <c r="G24" i="11"/>
  <c r="G39" i="11"/>
  <c r="S79" i="10"/>
  <c r="S78" i="10"/>
  <c r="Q78" i="10"/>
  <c r="O101" i="10"/>
  <c r="Q101" i="10"/>
  <c r="Q79" i="10"/>
  <c r="S101" i="10"/>
  <c r="Q181" i="10"/>
  <c r="S181" i="10"/>
  <c r="K181" i="10"/>
  <c r="M181" i="10"/>
  <c r="K102" i="10"/>
  <c r="O102" i="10"/>
  <c r="O83" i="10"/>
  <c r="S83" i="10"/>
  <c r="K79" i="10"/>
  <c r="M79" i="10"/>
  <c r="O77" i="10"/>
  <c r="Q77" i="10"/>
  <c r="S77" i="10"/>
  <c r="O78" i="10"/>
  <c r="Q102" i="10"/>
  <c r="S102" i="10"/>
  <c r="K22" i="10"/>
  <c r="M22" i="10"/>
  <c r="O22" i="10"/>
  <c r="K77" i="10"/>
  <c r="K83" i="10"/>
  <c r="Q22" i="10"/>
  <c r="M83" i="10"/>
  <c r="S90" i="10"/>
  <c r="Q90" i="10"/>
  <c r="O90" i="10"/>
  <c r="M90" i="10"/>
  <c r="K90" i="10"/>
  <c r="S104" i="10"/>
  <c r="Q104" i="10"/>
  <c r="O104" i="10"/>
  <c r="M104" i="10"/>
  <c r="K104" i="10"/>
  <c r="K78" i="10"/>
  <c r="K101" i="10"/>
  <c r="J17" i="20" l="1"/>
  <c r="F17" i="20"/>
  <c r="D17" i="20"/>
  <c r="H17" i="20"/>
  <c r="G13" i="11"/>
  <c r="G26" i="10"/>
  <c r="H26" i="10" s="1"/>
  <c r="H45" i="10" s="1"/>
  <c r="G183" i="10" s="1"/>
  <c r="S23" i="10"/>
  <c r="S186" i="10" s="1"/>
  <c r="O23" i="10"/>
  <c r="O186" i="10" s="1"/>
  <c r="K23" i="10"/>
  <c r="K186" i="10" s="1"/>
  <c r="Q23" i="10"/>
  <c r="Q186" i="10" s="1"/>
  <c r="M23" i="10"/>
  <c r="M186" i="10" s="1"/>
  <c r="T182" i="10"/>
  <c r="T80" i="10"/>
  <c r="R182" i="10"/>
  <c r="R80" i="10"/>
  <c r="P182" i="10"/>
  <c r="N73" i="10"/>
  <c r="P80" i="10"/>
  <c r="N182" i="10"/>
  <c r="L73" i="10"/>
  <c r="T91" i="10"/>
  <c r="L182" i="10"/>
  <c r="P46" i="10"/>
  <c r="N46" i="10"/>
  <c r="T73" i="10"/>
  <c r="L46" i="10"/>
  <c r="P73" i="10"/>
  <c r="T46" i="10"/>
  <c r="L91" i="10"/>
  <c r="R46" i="10"/>
  <c r="R73" i="10"/>
  <c r="R91" i="10"/>
  <c r="N80" i="10"/>
  <c r="P91" i="10"/>
  <c r="L80" i="10"/>
  <c r="N91" i="10"/>
  <c r="I26" i="10" l="1"/>
  <c r="I45" i="10" s="1"/>
  <c r="O18" i="10"/>
  <c r="K18" i="10"/>
  <c r="M18" i="10"/>
  <c r="S18" i="10"/>
  <c r="Q18" i="10"/>
  <c r="G184" i="10" l="1"/>
  <c r="G185" i="10" s="1"/>
  <c r="B18" i="20"/>
  <c r="Q27" i="10"/>
  <c r="O27" i="10"/>
  <c r="M27" i="10"/>
  <c r="K27" i="10"/>
  <c r="S27" i="10"/>
  <c r="T23" i="10"/>
  <c r="P23" i="10"/>
  <c r="L23" i="10"/>
  <c r="N23" i="10"/>
  <c r="R23" i="10"/>
  <c r="D18" i="20" l="1"/>
  <c r="D26" i="20" s="1"/>
  <c r="D30" i="20" s="1"/>
  <c r="J18" i="20"/>
  <c r="J26" i="20" s="1"/>
  <c r="F18" i="20"/>
  <c r="F26" i="20" s="1"/>
  <c r="H18" i="20"/>
  <c r="H26" i="20" s="1"/>
  <c r="C18" i="20"/>
  <c r="B26" i="20"/>
  <c r="N186" i="10"/>
  <c r="C21" i="20" l="1"/>
  <c r="C24" i="20"/>
  <c r="E26" i="20"/>
  <c r="E30" i="20" s="1"/>
  <c r="C23" i="20"/>
  <c r="C25" i="20"/>
  <c r="K26" i="20"/>
  <c r="I26" i="20"/>
  <c r="G26" i="20"/>
  <c r="C20" i="20"/>
  <c r="C22" i="20"/>
  <c r="C19" i="20"/>
  <c r="C17" i="20"/>
  <c r="C26" i="20" s="1"/>
  <c r="F30" i="20"/>
  <c r="H30" i="20" s="1"/>
  <c r="J30" i="20" s="1"/>
  <c r="L186" i="10"/>
  <c r="R186" i="10"/>
  <c r="P186" i="10"/>
  <c r="T186" i="10"/>
  <c r="G30" i="20" l="1"/>
  <c r="I30" i="20" s="1"/>
  <c r="K30" i="20" s="1"/>
</calcChain>
</file>

<file path=xl/sharedStrings.xml><?xml version="1.0" encoding="utf-8"?>
<sst xmlns="http://schemas.openxmlformats.org/spreadsheetml/2006/main" count="1200" uniqueCount="474">
  <si>
    <t>CÓDIGO</t>
  </si>
  <si>
    <t>1.1.1</t>
  </si>
  <si>
    <t>SINAPI</t>
  </si>
  <si>
    <t>2.1</t>
  </si>
  <si>
    <t>m</t>
  </si>
  <si>
    <t>UNIDADE</t>
  </si>
  <si>
    <t>QUANTIDADE</t>
  </si>
  <si>
    <t>TOTAIS</t>
  </si>
  <si>
    <t>Pilares</t>
  </si>
  <si>
    <t>Alvenaria</t>
  </si>
  <si>
    <t>PROPRIETÁRIO: Prefeitura Municipal de Birigui</t>
  </si>
  <si>
    <t>Boletim de medição</t>
  </si>
  <si>
    <t>PLANILHA ORÇAMENTÁRIA</t>
  </si>
  <si>
    <t>Medição:</t>
  </si>
  <si>
    <r>
      <rPr>
        <b/>
        <sz val="8.5"/>
        <rFont val="Calibri"/>
        <family val="1"/>
      </rPr>
      <t>ITEM</t>
    </r>
  </si>
  <si>
    <t>REFERÊNCIA</t>
  </si>
  <si>
    <t>FONTE</t>
  </si>
  <si>
    <r>
      <rPr>
        <b/>
        <sz val="8.5"/>
        <rFont val="Calibri"/>
        <family val="1"/>
      </rPr>
      <t>ESPECIFICAÇÃO / SERVIÇO</t>
    </r>
  </si>
  <si>
    <t>R$ UNITÁRIO</t>
  </si>
  <si>
    <t>R$ TOTAL
SEM BDI</t>
  </si>
  <si>
    <t>R$ TOTAL
COM BDI</t>
  </si>
  <si>
    <t>Data:</t>
  </si>
  <si>
    <t>1. SERVIÇOS PRELIMINARES</t>
  </si>
  <si>
    <t xml:space="preserve">MEDIDO NO PERÍODO </t>
  </si>
  <si>
    <t>1.1</t>
  </si>
  <si>
    <t>Referência</t>
  </si>
  <si>
    <t>Fonte</t>
  </si>
  <si>
    <t>Serviços Preliminares</t>
  </si>
  <si>
    <t>Unidade</t>
  </si>
  <si>
    <t>Quantidade</t>
  </si>
  <si>
    <t>Valor total</t>
  </si>
  <si>
    <t>R$</t>
  </si>
  <si>
    <t>(%)</t>
  </si>
  <si>
    <t>02.08.050</t>
  </si>
  <si>
    <t>Placa em lona com impressão digital e estrutura em madeira</t>
  </si>
  <si>
    <t>1.1.2</t>
  </si>
  <si>
    <t>m³</t>
  </si>
  <si>
    <t>TOTAL ITEM 01:</t>
  </si>
  <si>
    <t>Estacas</t>
  </si>
  <si>
    <t>2.1.1</t>
  </si>
  <si>
    <t>COMPOSIÇÃO</t>
  </si>
  <si>
    <t xml:space="preserve">Estaca escavada mecanicamente, diâmetro de 25 cm </t>
  </si>
  <si>
    <t>2.2.1</t>
  </si>
  <si>
    <t>Preparo de fundo de vala com largura menor que 1,5 m, com camada de brita, lançamento manual</t>
  </si>
  <si>
    <t>2.2.4</t>
  </si>
  <si>
    <t>2.2.6</t>
  </si>
  <si>
    <t>2.2.7</t>
  </si>
  <si>
    <t>32.16.030</t>
  </si>
  <si>
    <t>Impermeabilização em membrana de asfalto modificado com elastômeros, na cor preta</t>
  </si>
  <si>
    <t>TOTAL ITEM 02:</t>
  </si>
  <si>
    <t>3. ESTRUTURAS</t>
  </si>
  <si>
    <t>3.1</t>
  </si>
  <si>
    <t>3.1.1</t>
  </si>
  <si>
    <t>3.1.2</t>
  </si>
  <si>
    <t>3.1.4</t>
  </si>
  <si>
    <t>3.1.5</t>
  </si>
  <si>
    <t>3.2</t>
  </si>
  <si>
    <t>3.2.1</t>
  </si>
  <si>
    <t>3.3</t>
  </si>
  <si>
    <t>3.3.1</t>
  </si>
  <si>
    <t>TOTAL ITEM 03:</t>
  </si>
  <si>
    <t>4. REVESTIMENTOS</t>
  </si>
  <si>
    <t>4.1</t>
  </si>
  <si>
    <t>4.1.1</t>
  </si>
  <si>
    <t>17.02.060</t>
  </si>
  <si>
    <t>Chapisco fino peneirado</t>
  </si>
  <si>
    <t>17.02.140</t>
  </si>
  <si>
    <t>Emboço desempenado com espuma de poliéster</t>
  </si>
  <si>
    <t>4.1.3</t>
  </si>
  <si>
    <t>Reboco</t>
  </si>
  <si>
    <t>TOTAL ITEM 04:</t>
  </si>
  <si>
    <t>5. ESQUADRIAS</t>
  </si>
  <si>
    <t>5.1.1</t>
  </si>
  <si>
    <t>TOTAL ITEM 05:</t>
  </si>
  <si>
    <t>6.1.2</t>
  </si>
  <si>
    <t>6.1.3</t>
  </si>
  <si>
    <t>TOTAL ITEM 06:</t>
  </si>
  <si>
    <t>Serviços complementares</t>
  </si>
  <si>
    <t>55.01.020</t>
  </si>
  <si>
    <t>Limpeza final da obra</t>
  </si>
  <si>
    <t>TOTAL SEM BDI:</t>
  </si>
  <si>
    <t>TOTAL DA MEDIÇÃO</t>
  </si>
  <si>
    <t xml:space="preserve">BDI: </t>
  </si>
  <si>
    <t>VALOR TOTAL COM BDI:</t>
  </si>
  <si>
    <t>SECRETARIA DE OBRAS - PREFEITURA MUNICIPAL DE BIRIGUI</t>
  </si>
  <si>
    <t>COMPOSIÇÕES</t>
  </si>
  <si>
    <t>DESCRIÇÃO DO SERVIÇO OU FORNECIMENTO</t>
  </si>
  <si>
    <t>PREÇO</t>
  </si>
  <si>
    <t>DESCRIÇÃO DO INSUMO</t>
  </si>
  <si>
    <t>COEFICIENTE</t>
  </si>
  <si>
    <t>CUSTO UNITÁRIO</t>
  </si>
  <si>
    <t>CUSTO TOTAL</t>
  </si>
  <si>
    <t>Pedreiro com encargos complementares</t>
  </si>
  <si>
    <t>H</t>
  </si>
  <si>
    <t>Servente com encargos complementares</t>
  </si>
  <si>
    <t>CUSTO TOTAL DO SERVIÇO:</t>
  </si>
  <si>
    <t>12.05.020</t>
  </si>
  <si>
    <t xml:space="preserve">A.08.000.020144 </t>
  </si>
  <si>
    <t xml:space="preserve">Estaca escavada mecanicamente, diâmetro de 25 cm até 20 t </t>
  </si>
  <si>
    <t>M</t>
  </si>
  <si>
    <t>Armador com encargos complementares</t>
  </si>
  <si>
    <t>Ajudante de armador com encargos complementares</t>
  </si>
  <si>
    <t>B.06.000.021525</t>
  </si>
  <si>
    <t xml:space="preserve">Aço CA-50-A $MD bitolas </t>
  </si>
  <si>
    <t>KG</t>
  </si>
  <si>
    <t xml:space="preserve">B.06.000.021538 </t>
  </si>
  <si>
    <t xml:space="preserve">Aço CA-60-B $MD bitolas </t>
  </si>
  <si>
    <t>M³</t>
  </si>
  <si>
    <t xml:space="preserve">E.02.000.027010 </t>
  </si>
  <si>
    <t>Arame recozido nº 18 BWG KG 0,0048</t>
  </si>
  <si>
    <t>CRONOGRAMA FÍSICO FINANCEIRO</t>
  </si>
  <si>
    <t>DESCRIÇÃO DOS SERVIÇOS</t>
  </si>
  <si>
    <t>VALOR</t>
  </si>
  <si>
    <t>PESO (%)</t>
  </si>
  <si>
    <t>Mês 1</t>
  </si>
  <si>
    <t>Mês 2</t>
  </si>
  <si>
    <t>VALOR (R$)</t>
  </si>
  <si>
    <t xml:space="preserve">TOTAL ACUMULADO: </t>
  </si>
  <si>
    <t>C.04.000.020536</t>
  </si>
  <si>
    <t>Concreto usinado fck= 25 MPa, slump 5 ± 1cm, slump 1 e 2</t>
  </si>
  <si>
    <t>Armação de bloco, viga baldrame ou sapata utilizando aço CA-50 de 10 mm - montagem</t>
  </si>
  <si>
    <t>Armação de bloco, viga baldrame e sapata utilizando aço CA-60 de 5 mm - montagem</t>
  </si>
  <si>
    <t>Concretagem de blocos de coroamento e vigas baldrames, fck 30 mpa, com uso de bomba lançamento, adensamento e acabamento</t>
  </si>
  <si>
    <t>Concretagem de pilares, fck = 25 mpa, com uso de bomba - lançamento, adensamento e acabamento</t>
  </si>
  <si>
    <t>Armação de pilar ou viga de estrutura convencional de concreto armado utilizando aço ca-50 de 10,0 mm - montagem</t>
  </si>
  <si>
    <t>Armação de pilar ou viga de estrutura convencional de concreto armado utilizando aço ca-60 de 5,0 mm - montagem</t>
  </si>
  <si>
    <t>2.2.8</t>
  </si>
  <si>
    <t>3.2.2</t>
  </si>
  <si>
    <t>3.2.3</t>
  </si>
  <si>
    <t>3.2.4</t>
  </si>
  <si>
    <t>Armação de pilar ou viga de estrutura convencional de concreto armado utilizando aço CA-50 de 10,0 mm - montagem</t>
  </si>
  <si>
    <t>Armação de pilar ou viga de estrutura convencional de concreto armado utilizando aço CA-60 de 5,0 mm - montagem</t>
  </si>
  <si>
    <t>Concretagem de vigas e lajes, fck=25 mpa, para qualquer tipo de laje com baldes em edificação térrea - lançamento, adensamento e acabamento</t>
  </si>
  <si>
    <t>PMB</t>
  </si>
  <si>
    <t>2.2</t>
  </si>
  <si>
    <t>Alvenaria de vedação de blocos vazados de concreto aparente de 19x19x39 cm (espessura 19 cm) e argamassa de assentamento com preparo em betoneira</t>
  </si>
  <si>
    <t>24.02.060</t>
  </si>
  <si>
    <t>Porta/portão de abrir em chapa, sob medida</t>
  </si>
  <si>
    <t>Fundo selador acrílico, aplicação manual em parede, uma demão</t>
  </si>
  <si>
    <t>Pintura látex acrílica premium, aplicação manual em paredes, duas demãos</t>
  </si>
  <si>
    <t>Esmalte à base água em superfície metálica, inclusive preparo</t>
  </si>
  <si>
    <t>33.11.050</t>
  </si>
  <si>
    <t>17.02.220</t>
  </si>
  <si>
    <t>5.1.2</t>
  </si>
  <si>
    <t>Mês 3</t>
  </si>
  <si>
    <t>Mês 4</t>
  </si>
  <si>
    <t>TOTAL ITEM 07:</t>
  </si>
  <si>
    <t>SINAPI-I</t>
  </si>
  <si>
    <t>CDHU</t>
  </si>
  <si>
    <t>CDHU-I</t>
  </si>
  <si>
    <t>02.10.020</t>
  </si>
  <si>
    <t>Locação de obra de edificação</t>
  </si>
  <si>
    <t>Viga Baldrame</t>
  </si>
  <si>
    <t>Escavação mecanizada para viga baldrame com mini-escavadeira (incluindo escavação para colocação de fôrmas)</t>
  </si>
  <si>
    <t>M2</t>
  </si>
  <si>
    <t>M3</t>
  </si>
  <si>
    <t>Fabricação, montagem e desmontagem de fôrma para viga baldrame, em chapa de madeira compensada resinada, e=17 mm, 4 utilizações</t>
  </si>
  <si>
    <t>06.11.040</t>
  </si>
  <si>
    <t>Reaterro manual apiloado sem controle de compactação</t>
  </si>
  <si>
    <t>09.02.020</t>
  </si>
  <si>
    <t>Forma plana em compensado para estrutura convencional</t>
  </si>
  <si>
    <t>Viga de Respaldo e Cintas de Amarração</t>
  </si>
  <si>
    <t>Cinta de amarração de alvenaria moldada in loco com utilização de blocos canaleta</t>
  </si>
  <si>
    <t>Argamassa traço 1:2:9 (em volume de cimento, cal e areia média úmida) para emboço/massa única/assentamento de alvenaria de vedação, preparo mecânico com betoneira 600l.</t>
  </si>
  <si>
    <t xml:space="preserve">Graute fgk=20 mpa; traço 1:0,04:1,8:2,1 (em massa seca de cimento/ cal/ areia grossa/ brita 0) - preparo mecânico com betoneira 400 l. </t>
  </si>
  <si>
    <t>kg</t>
  </si>
  <si>
    <t>Canaleta de concreto 19 x 19 x 19 cm (classe c - nbr 6136)</t>
  </si>
  <si>
    <t>unidade</t>
  </si>
  <si>
    <t>3.4</t>
  </si>
  <si>
    <t>Laje pré-moldada unidirecional, biapoiada, para forro, enchimento em cerâmica, vigota convencional, altura total da laje (enchimento+capa) = (8+3)</t>
  </si>
  <si>
    <t>3.5</t>
  </si>
  <si>
    <t>15.03.030</t>
  </si>
  <si>
    <t>Fornecimento e montagem de estrutura em aço ASTM-A36, sem pintura</t>
  </si>
  <si>
    <t xml:space="preserve"> Pintura</t>
  </si>
  <si>
    <t>1.1.3</t>
  </si>
  <si>
    <t>UN</t>
  </si>
  <si>
    <t>32.16.050</t>
  </si>
  <si>
    <t>Impermeabilização em membrana à base de polímeros acrílicos, na cor branca</t>
  </si>
  <si>
    <t>Revestimentos - Pilares</t>
  </si>
  <si>
    <t>Caixilho em alumínio basculante com vidro, linha comercial</t>
  </si>
  <si>
    <t>25.01.030</t>
  </si>
  <si>
    <t>Piso de Concreto</t>
  </si>
  <si>
    <t>54.01.400</t>
  </si>
  <si>
    <t>Abertura de caixa até 25 cm, inclui escavação, compactação, transporte e preparo do sub‐leito</t>
  </si>
  <si>
    <t>11.18.040</t>
  </si>
  <si>
    <t>Lastro de pedra britada</t>
  </si>
  <si>
    <t>11.16.020</t>
  </si>
  <si>
    <t>Lançamento, espalhamento e adensamento de concreto ou massa em lastro e/ou enchimento</t>
  </si>
  <si>
    <t>11.16.220</t>
  </si>
  <si>
    <t>Nivelamento de piso em concreto com acabadora de superfície</t>
  </si>
  <si>
    <t>Contrapiso em argamassa traço 1:4 (cimento e areia), preparo mecânico com betoneira 400 l, aplicado em áreas molhadas sobre impermeabilização, acabamento não reforçado, espessura 3cm</t>
  </si>
  <si>
    <t>Porta de alumínio de abrir com lambri, com guarnição, fixação com parafusos - fornecimento e instalação</t>
  </si>
  <si>
    <t>6. REVESTIMENTOS CERÂMICOS E PINTURA</t>
  </si>
  <si>
    <t>Acabamento frontal telha metálica termoacústica (telha sanduíche)</t>
  </si>
  <si>
    <t>Telhadista com encargos complementares</t>
  </si>
  <si>
    <t>COTAÇÃO</t>
  </si>
  <si>
    <t>Acabamento Telha Metálica Termoacústica</t>
  </si>
  <si>
    <t>5.1</t>
  </si>
  <si>
    <t>Portão e Portas</t>
  </si>
  <si>
    <t>Janelas</t>
  </si>
  <si>
    <t>Revestimentos Cerâmicos</t>
  </si>
  <si>
    <t>17.01.060</t>
  </si>
  <si>
    <t>Regularização de piso com nata de cimento e adesivo de alto desempenho</t>
  </si>
  <si>
    <t>Revestimento cerâmico para piso com placas tipo esmaltada extra de dimensões 60x60 cm aplicada em ambientes de área menor que 5 m2</t>
  </si>
  <si>
    <t>Revestimento cerâmico para paredes internas com placas tipo esmaltada extra de dimensões 60x60 cm aplicadas na altura inteira das paredes</t>
  </si>
  <si>
    <t>Pintura látex acrílica premium, aplicação manual em teto, duas demãos</t>
  </si>
  <si>
    <t>40.04.480</t>
  </si>
  <si>
    <t>CJ</t>
  </si>
  <si>
    <t>Caixa enterrada hidráulica retangular em alvenaria com tijolos cerâmicos maciços, dimensões internas: 0,6x0,6x0,6 m para rede de esgoto</t>
  </si>
  <si>
    <t>44.20.110</t>
  </si>
  <si>
    <t>Engate flexível de pvc dn= 1/2´</t>
  </si>
  <si>
    <t>44.20.010</t>
  </si>
  <si>
    <t>Sifão plástico sanfonado universal de 1´</t>
  </si>
  <si>
    <t>Instalações Hidráulicas</t>
  </si>
  <si>
    <t>9. SERVIÇOS COMPLEMENTARES</t>
  </si>
  <si>
    <t>8. LOUÇAS, METAIS E ACESSÓRIOS</t>
  </si>
  <si>
    <t>Louças, metais e acessórios</t>
  </si>
  <si>
    <t>95472</t>
  </si>
  <si>
    <t>Vaso sanitario sifonado convencional para pcd sem furo frontal com louça branca sem assento, incluso conjunto de ligação para bacia sanitária ajustável - fornecimento e instalação</t>
  </si>
  <si>
    <t>86904</t>
  </si>
  <si>
    <t>Lavatório louça branca suspenso, 29,5 x 39cm ou equivalente, padrão popular - fornecimento e instalação</t>
  </si>
  <si>
    <t>100849</t>
  </si>
  <si>
    <t>Assento sanitário convencional - fornecimento e instalacao</t>
  </si>
  <si>
    <t>44.03.180</t>
  </si>
  <si>
    <t>Dispenser toalheiro em abs, para folhas</t>
  </si>
  <si>
    <t>44.03.050</t>
  </si>
  <si>
    <t>Dispenser papel higiênico em abs para rolão 300 / 600 m, com visor</t>
  </si>
  <si>
    <t>44.03.130</t>
  </si>
  <si>
    <t>Saboneteira tipo dispenser, para refil de 800 ml</t>
  </si>
  <si>
    <t>100868</t>
  </si>
  <si>
    <t>100867</t>
  </si>
  <si>
    <t>30.01.120</t>
  </si>
  <si>
    <t>Barra de apoio reta, para pessoas com mobilidade reduzida, em tubo de aço inoxidável de 1 1/4´ x 400 mm</t>
  </si>
  <si>
    <t>30.01.061</t>
  </si>
  <si>
    <t>Barra de apoio lateral para lavatório, para pessoas com mobilidade reduzida, em tubo de aço inoxidável de 1.1/4", comprimento 25 a 30 cm</t>
  </si>
  <si>
    <t>44.03.720</t>
  </si>
  <si>
    <t>Torneira de mesa para lavatório, acionamento hidromecânico com alavanca, registro integrado regulador de vazão, em latão cromado, dn= 1/2´</t>
  </si>
  <si>
    <t>47.04.080</t>
  </si>
  <si>
    <t>Válvula de descarga externa, tipo alavanca com registro próprio, dn= 1 1/4´ e dn= 1 1/2´</t>
  </si>
  <si>
    <t>9.1</t>
  </si>
  <si>
    <t>TOTAL ITEM 09:</t>
  </si>
  <si>
    <t>Corte e dobra de aço ca-60, diâmetro de 5,0 mm</t>
  </si>
  <si>
    <t>Corte e dobra de aço ca-50, diâmetro de 8,0 mm</t>
  </si>
  <si>
    <t>Impermeabilização de superfície com argamassa de cimento e areia, com aditivo impermeabilizante, e = 1,5cm</t>
  </si>
  <si>
    <t>11.01.130</t>
  </si>
  <si>
    <t>Concreto usinado, fck = 25 MPa</t>
  </si>
  <si>
    <t>Conjunto de pontos hidráulicos de água fria para banheiro (ramal/sub-ramal e distribuição) em pvc, com tubos, conexões, registros, cortes e fixações em prédio com tubulações embutidas com rasgo</t>
  </si>
  <si>
    <t>Conjunto de pontos de coleta de esgoto para banheiro (ramal de esgoto sanitário), em pvc série normal, com tubos, conexões, ralos, caixas sifonadas, cortes e fixações em prédio com prumada de descida de esgoto fora do banheiro</t>
  </si>
  <si>
    <t>2.2.2</t>
  </si>
  <si>
    <t>2.2.3</t>
  </si>
  <si>
    <t>2.2.5</t>
  </si>
  <si>
    <t>3.2.5</t>
  </si>
  <si>
    <t>3.3.2</t>
  </si>
  <si>
    <t>3.4.1</t>
  </si>
  <si>
    <t>3.4.2</t>
  </si>
  <si>
    <t>3.5.1</t>
  </si>
  <si>
    <t>5.2</t>
  </si>
  <si>
    <t>5.2.1</t>
  </si>
  <si>
    <t>6.1</t>
  </si>
  <si>
    <t>6.1.1</t>
  </si>
  <si>
    <t>6.2</t>
  </si>
  <si>
    <t>6.2.1</t>
  </si>
  <si>
    <t>6.2.2</t>
  </si>
  <si>
    <t>6.2.3</t>
  </si>
  <si>
    <t>6.2.4</t>
  </si>
  <si>
    <t>6.2.5</t>
  </si>
  <si>
    <t>7.1</t>
  </si>
  <si>
    <t>7.1.1</t>
  </si>
  <si>
    <t>7.1.2</t>
  </si>
  <si>
    <t>7.2</t>
  </si>
  <si>
    <t>7.2.1</t>
  </si>
  <si>
    <t>8.1.1</t>
  </si>
  <si>
    <t>7.2.2</t>
  </si>
  <si>
    <t>TOTAL ITEM 08:</t>
  </si>
  <si>
    <t>8.1</t>
  </si>
  <si>
    <t>8.1.2</t>
  </si>
  <si>
    <t>8.1.9</t>
  </si>
  <si>
    <t>8.1.6</t>
  </si>
  <si>
    <t>8.1.3</t>
  </si>
  <si>
    <t>8.1.4</t>
  </si>
  <si>
    <t>8.1.5</t>
  </si>
  <si>
    <t>8.1.7</t>
  </si>
  <si>
    <t>8.1.8</t>
  </si>
  <si>
    <t>8.1.10</t>
  </si>
  <si>
    <t>8.1.11</t>
  </si>
  <si>
    <t>8.1.12</t>
  </si>
  <si>
    <t>9.1.1</t>
  </si>
  <si>
    <t>Armação para execução de radier, piso de concreto ou laje sobre solo, com uso de tela q-138</t>
  </si>
  <si>
    <t>6.2.6</t>
  </si>
  <si>
    <t>33.07.140</t>
  </si>
  <si>
    <t>Pintura com esmalte alquídico em estrutura metálica</t>
  </si>
  <si>
    <t>Telhamento em chapa de aço pré‐pintada com epóxi e poliéster, tipo sanduíche, espessura de 0,50 mm, com poliuretano</t>
  </si>
  <si>
    <t>16.13.070</t>
  </si>
  <si>
    <t>46.01.020</t>
  </si>
  <si>
    <t>Tubo de PVC rígido soldável marrom, DN= 25 mm, (3/4´), inclusive conexões</t>
  </si>
  <si>
    <t>48.02.401</t>
  </si>
  <si>
    <t>Reservatório em polietileno com tampa de rosca ‐ capacidade de 500 litros</t>
  </si>
  <si>
    <t>3.5.2</t>
  </si>
  <si>
    <t>15.20.020</t>
  </si>
  <si>
    <t>Fornecimento de peças diversas para estrutura em madeira</t>
  </si>
  <si>
    <t>7.3</t>
  </si>
  <si>
    <t>7.3.1</t>
  </si>
  <si>
    <t>7.3.2</t>
  </si>
  <si>
    <t>7.3.3</t>
  </si>
  <si>
    <t>Drenagem Pluvial</t>
  </si>
  <si>
    <t>FDE</t>
  </si>
  <si>
    <t>16.05.031</t>
  </si>
  <si>
    <t>CA-21 canaleta de aguas pluviais em concreto (20cm)</t>
  </si>
  <si>
    <t>16.05.047</t>
  </si>
  <si>
    <t>TC-10 tampa de concreto pre-moldada perf. p/ canaleta l=25cm</t>
  </si>
  <si>
    <t>04.40.070</t>
  </si>
  <si>
    <t>Retirada manual de paralelepípedo ou lajota de concreto, inclusive limpeza e empilhamento</t>
  </si>
  <si>
    <t>54.20.120</t>
  </si>
  <si>
    <t>Reassentamento de pavimentação em lajota de concreto, espessura 6 cm, com rejunte em areia</t>
  </si>
  <si>
    <r>
      <t xml:space="preserve">  BASE: 
      </t>
    </r>
    <r>
      <rPr>
        <sz val="11"/>
        <color rgb="FF000000"/>
        <rFont val="Calibri"/>
        <family val="2"/>
        <scheme val="minor"/>
      </rPr>
      <t>CDHU 192 (Novembro/2023) - Desonerado
      SINAPI (Dezembro/2023) - Desonerado
      FDE (Outubro/2023) - Desonerado</t>
    </r>
  </si>
  <si>
    <t>46.03.050</t>
  </si>
  <si>
    <t>Tubo de PVC rígido PxB com virola e anel de borracha, linha esgoto série reforçada ´R´, DN= 100 mm, inclusive conexões</t>
  </si>
  <si>
    <t>01.17.051</t>
  </si>
  <si>
    <t>Projeto executivo de estrutura em formato A1</t>
  </si>
  <si>
    <t>2. FUNDAÇÃO E PISO DE CONCRETO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</si>
  <si>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</si>
  <si>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</si>
  <si>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</si>
  <si>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</si>
  <si>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</si>
  <si>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</si>
  <si>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</si>
  <si>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</si>
  <si>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</si>
  <si>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3.5.3</t>
  </si>
  <si>
    <t>Cobertura Metálica</t>
  </si>
  <si>
    <t>3.5.4</t>
  </si>
  <si>
    <t>Espuma expansiva de poliuretano, aplicacao manual - 500 ml</t>
  </si>
  <si>
    <t>Fixação (encunhamento) de alvenaria de vedação com espuma de poliuretano expansiva</t>
  </si>
  <si>
    <t>49.06.160</t>
  </si>
  <si>
    <t>Grelha quadriculada em ferro fundido para caixas e canaletas</t>
  </si>
  <si>
    <t>Emassamento com massa látex, aplicação em teto, uma demão, lixamento manual</t>
  </si>
  <si>
    <t>7.3.4</t>
  </si>
  <si>
    <t>1.1.4</t>
  </si>
  <si>
    <t>02.10.060</t>
  </si>
  <si>
    <t>Locação de vias, calçadas, tanques e lagoas</t>
  </si>
  <si>
    <t>22.02.100</t>
  </si>
  <si>
    <t>3.5.5</t>
  </si>
  <si>
    <t>Forro em painéis de gesso acartonado, acabamento liso com película em PVC ‐ removível</t>
  </si>
  <si>
    <t>Laje Pré-Moldada dos Banheiros e Estrutura de Madeira para suporte das Caixas D'Água</t>
  </si>
  <si>
    <t>37.03.210</t>
  </si>
  <si>
    <t>Quadro de distribuição universal de embutir, para disjuntores 24 DIN / 18 Bolt‐on ‐ 150 A ‐ sem componentes</t>
  </si>
  <si>
    <t>37.13.600</t>
  </si>
  <si>
    <t>Disjuntor termomagnético, unipolar 127/220 V, corrente de 10 A até 30 A</t>
  </si>
  <si>
    <t>Conjunto 1 interruptor simples e 1 tomada 2P+T de 10 A, completo</t>
  </si>
  <si>
    <t>40.04.460</t>
  </si>
  <si>
    <t>Tomada 2P+T de 20 A ‐ 250 V, completa</t>
  </si>
  <si>
    <t>41.02.541</t>
  </si>
  <si>
    <t>Lâmpada LED tubular T8 com base G13, de 900 até 1050 Im ‐ 9 a 10 W</t>
  </si>
  <si>
    <t>41.02.551</t>
  </si>
  <si>
    <t>Lâmpada LED tubular T8 com base G13, de 1850 até 2000 Im ‐ 18 a 20 W</t>
  </si>
  <si>
    <t>38.13.020</t>
  </si>
  <si>
    <t>39.21.020</t>
  </si>
  <si>
    <t>39.21.040</t>
  </si>
  <si>
    <t>Cabo de cobre flexível de 2,5 mm², isolamento 0,6/1kV ‐ isolação HEPR 90°C</t>
  </si>
  <si>
    <t>Cabo de cobre flexível de 6 mm², isolamento 0,6/1kV ‐ isolação HEPR  90°C</t>
  </si>
  <si>
    <t>39.21.070</t>
  </si>
  <si>
    <t>Cabo de cobre flexível de 25 mm², isolamento 0,6/1kV ‐ isolação HEPR 90°C</t>
  </si>
  <si>
    <t>03.03.060</t>
  </si>
  <si>
    <t>17.10.020</t>
  </si>
  <si>
    <t>Piso em granilite moldado no local</t>
  </si>
  <si>
    <t>Demolição manual de revestimento em massa de piso</t>
  </si>
  <si>
    <t>30.04.030</t>
  </si>
  <si>
    <t>Piso em ladrilho hidráulico podotátil várias cores (25x25cm), assentado com argamassa mista</t>
  </si>
  <si>
    <t>06.02.020</t>
  </si>
  <si>
    <t>Escavação manual em solo de 1ª e 2ª categoria em vala ou cava até 1,5 m</t>
  </si>
  <si>
    <t>11.04.020</t>
  </si>
  <si>
    <t>Concreto não estrutural executado no local, mínimo 150 kg cimento / m³</t>
  </si>
  <si>
    <t>Caixa enterrada elétrica retangular, em concreto pré‐moldado, fundo com brita, dimensões internas: 0,8x0,8x1,0 m</t>
  </si>
  <si>
    <t>Kit cavalete para medição de água - entrada principal, em pvc soldável dn 25 (¾") fornecimento e instalação (exclusive hidrômetro)</t>
  </si>
  <si>
    <t>Hidrômetro dn 25 (¾ ), 5,0 m³/h fornecimento e instalação</t>
  </si>
  <si>
    <t>Barra de apoio reta, em aco inox polido, comprimento 80 cm, fixada na parede - fornecimento e instalação</t>
  </si>
  <si>
    <t>Barra de apoio reta, em aco inox polido, comprimento 70 cm, fixada na parede - fornecimento e instalação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</si>
  <si>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</si>
  <si>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</si>
  <si>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</si>
  <si>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</si>
  <si>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38.19.020</t>
  </si>
  <si>
    <t>Eletroduto de PVC corrugado flexível leve, diâmetro externo de 20 mm</t>
  </si>
  <si>
    <t>Interruptor simples (4 módulos), 10a/250v, incluindo suporte e placa - fornecimento e instalação</t>
  </si>
  <si>
    <t>40.07.010</t>
  </si>
  <si>
    <t>40.07.020</t>
  </si>
  <si>
    <t>Caixa em PVC de 4´ x 2´</t>
  </si>
  <si>
    <t>Caixa em PVC de 4´ x 4´</t>
  </si>
  <si>
    <t>38.07.300</t>
  </si>
  <si>
    <t>Perfilado perfurado 38 x 38 mm em chapa 14 pré‐zincada, com acessórios</t>
  </si>
  <si>
    <t>Eletricista com encargos complementares</t>
  </si>
  <si>
    <t>Auxiliar de eletricista com encargos complementares</t>
  </si>
  <si>
    <t>-</t>
  </si>
  <si>
    <t>37.24.032</t>
  </si>
  <si>
    <t>Supressor de surto monofásico, corrente nominal 20 kA, Imax. de surto 50 até 80 Ka</t>
  </si>
  <si>
    <t>Luminária de sobrepor alto rendimento 2 lâmpadas LED 10w t8 60cm</t>
  </si>
  <si>
    <t>Luminária de sobrepor alto rendimento 2 lâmpadas LED 20w t8 120cm</t>
  </si>
  <si>
    <t>Peça retangular pré-moldada, volume de concreto de 30 a 100 litros, taxa de aço aproximada de 30kg/m³</t>
  </si>
  <si>
    <t>Preparo de fundo de vala com largura menor que 1,5 m, com camada de brita, lançamento mecanizado</t>
  </si>
  <si>
    <t>Caixa enterrada elétrica retangular, em concreto pré-moldado, fundo com brita, dimensões internas: 0,8x0,8x1,0 m</t>
  </si>
  <si>
    <t>Caixa de concreto armado pre-moldado, sem fundo, quadrada, dimensoes de 0,80 x 0,80 x 0,50 m</t>
  </si>
  <si>
    <t>06.01.020</t>
  </si>
  <si>
    <t>Escavação manual em solo de 1ª e 2ª categoria em campo aberto</t>
  </si>
  <si>
    <t>7.2.3</t>
  </si>
  <si>
    <t>7.2.4</t>
  </si>
  <si>
    <t>7.2.5</t>
  </si>
  <si>
    <t>7.3.5</t>
  </si>
  <si>
    <t>7.3.6</t>
  </si>
  <si>
    <t>7.3.7</t>
  </si>
  <si>
    <t>7.3.8</t>
  </si>
  <si>
    <t>7.3.9</t>
  </si>
  <si>
    <t>7.3.10</t>
  </si>
  <si>
    <t>7.3.11</t>
  </si>
  <si>
    <t>7.3.12</t>
  </si>
  <si>
    <t>7.3.13</t>
  </si>
  <si>
    <t>7.3.14</t>
  </si>
  <si>
    <t>7.3.15</t>
  </si>
  <si>
    <t>7.3.16</t>
  </si>
  <si>
    <t>7.3.17</t>
  </si>
  <si>
    <t>7.3.18</t>
  </si>
  <si>
    <t>7.4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</si>
  <si>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</si>
  <si>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</si>
  <si>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</si>
  <si>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</si>
  <si>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</si>
  <si>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</si>
  <si>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</si>
  <si>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</si>
  <si>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</si>
  <si>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</si>
  <si>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7.5</t>
  </si>
  <si>
    <t>7.5.1</t>
  </si>
  <si>
    <t>7.5.2</t>
  </si>
  <si>
    <t>7.5.3</t>
  </si>
  <si>
    <t>7.5.4</t>
  </si>
  <si>
    <t>7.6</t>
  </si>
  <si>
    <t>7.6.1</t>
  </si>
  <si>
    <t>7.6.2</t>
  </si>
  <si>
    <t>7.6.3</t>
  </si>
  <si>
    <t>Instalações Elétricas - Ligação até o Barracão</t>
  </si>
  <si>
    <t>Instalações Elétricas - Ligação interna do Barracão</t>
  </si>
  <si>
    <t>7.2.6</t>
  </si>
  <si>
    <t xml:space="preserve">Reassentamento de Pavimentação em Lajota e Piso Granilite </t>
  </si>
  <si>
    <t xml:space="preserve">Retirada de Pavimentação em Lajota e Demolição Piso Granilite </t>
  </si>
  <si>
    <t>Eletroduto corrugado em polietileno de alta densidade, DN= 50 mm, com acessórios</t>
  </si>
  <si>
    <t>7.5.5</t>
  </si>
  <si>
    <t>Caixa enterrada hidráulica retangular em alvenaria com tijolos cerâmicos maciços, dimensões internas: 0,6x0,6x0,6 m para rede de drenagem</t>
  </si>
  <si>
    <t>8.1.13</t>
  </si>
  <si>
    <t>26.04.030</t>
  </si>
  <si>
    <t>Espelho comum de 3 mm com moldura em alumínio</t>
  </si>
  <si>
    <t>7. INSTALAÇÕES ELÉTRICAS, HIDRÁULICAS E DRENAGEM PLUVIAL</t>
  </si>
  <si>
    <t>3.1.3</t>
  </si>
  <si>
    <t>4.1.2</t>
  </si>
  <si>
    <t>5.2.2</t>
  </si>
  <si>
    <t>5.2.3</t>
  </si>
  <si>
    <t>19.01.064</t>
  </si>
  <si>
    <t>Peitoril e/ou soleira em granito, espessura de 2 cm e largura de 21 cm até 30 cm, acabamento polido</t>
  </si>
  <si>
    <t>Janela de alumínio tipo maxim-ar, com vidros, batente e ferragens. exclusive alizar, acabamento e contramarco. fornecimento e instalação</t>
  </si>
  <si>
    <t>39.21.060</t>
  </si>
  <si>
    <t>7.2.7</t>
  </si>
  <si>
    <t>Cabo de cobre flexível de 16 mm², isolamento 0,6/1kV ‐ isolação HEPR 90°C</t>
  </si>
  <si>
    <t>7.3.19</t>
  </si>
  <si>
    <t>40.07.040</t>
  </si>
  <si>
    <t>Caixa em PVC octogonal de 4´ x 4´</t>
  </si>
  <si>
    <t>5.1.3</t>
  </si>
  <si>
    <t>Peitoril e/ou soleira em granito, espessura de 2 cm e largura até 20 cm, acabamento polido</t>
  </si>
  <si>
    <t>19.01.062</t>
  </si>
  <si>
    <t>Birigui, 26 de Fevereiro de 2024.</t>
  </si>
  <si>
    <t>DATA: 26/02/2024</t>
  </si>
  <si>
    <t>OBRA: EXECUÇÃO DE BARRACÃO NA E.M. PROFª YVONNE MIRAGAIA PERUZZO</t>
  </si>
  <si>
    <t>ENDEREÇO: Rua Ernestino Bispo da Silva, n.º 279 - Bairro Portal da Pérola II, Birigui - SP</t>
  </si>
  <si>
    <t>Valor Total: R$ 546.511.06 (Quinhentos e quarenta e seis mil, quinhentos e onze reais e seis centavos).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</si>
</sst>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&quot;R$ &quot;* #,##0.00_-;&quot;-R$ &quot;* #,##0.00_-;_-&quot;R$ &quot;* \-??_-;_-@_-"/>
    <numFmt numFmtId="166" formatCode="0.0000"/>
    <numFmt numFmtId="167" formatCode="&quot;R$ &quot;#,##0.00"/>
    <numFmt numFmtId="168" formatCode="0.000"/>
    <numFmt numFmtId="169" formatCode="0.0000%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8"/>
      <color rgb="FF000000"/>
      <name val="Century Gothic"/>
      <family val="2"/>
      <charset val="1"/>
    </font>
    <font>
      <sz val="8"/>
      <color rgb="FF000000"/>
      <name val="Century Gothic"/>
      <family val="2"/>
      <charset val="1"/>
    </font>
    <font>
      <b/>
      <sz val="11"/>
      <name val="Calibri"/>
      <family val="1"/>
    </font>
    <font>
      <b/>
      <sz val="11"/>
      <name val="Calibri"/>
      <family val="2"/>
    </font>
    <font>
      <b/>
      <sz val="10"/>
      <name val="Calibri"/>
      <family val="2"/>
      <scheme val="minor"/>
    </font>
    <font>
      <b/>
      <sz val="8.5"/>
      <name val="Calibri"/>
      <family val="2"/>
    </font>
    <font>
      <b/>
      <sz val="8.5"/>
      <name val="Calibri"/>
      <family val="1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8"/>
      <color rgb="FF000000"/>
      <name val="Calibri"/>
      <family val="2"/>
      <scheme val="minor"/>
    </font>
    <font>
      <b/>
      <sz val="10"/>
      <name val="Calibri"/>
      <family val="2"/>
    </font>
    <font>
      <b/>
      <sz val="10"/>
      <color rgb="FF00000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2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name val="Arial"/>
      <family val="2"/>
    </font>
    <font>
      <sz val="11"/>
      <name val="Arial"/>
      <family val="2"/>
      <charset val="1"/>
    </font>
    <font>
      <b/>
      <sz val="16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20"/>
      <name val="Calibri"/>
      <family val="1"/>
    </font>
    <font>
      <sz val="16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4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EEECE1"/>
      </patternFill>
    </fill>
    <fill>
      <patternFill patternType="solid">
        <fgColor rgb="FFBEBEBE"/>
      </patternFill>
    </fill>
    <fill>
      <patternFill patternType="solid">
        <fgColor rgb="FFBFBFBF"/>
        <bgColor rgb="FFC0C0C0"/>
      </patternFill>
    </fill>
    <fill>
      <patternFill patternType="solid">
        <fgColor rgb="FFF1F1F1"/>
      </patternFill>
    </fill>
    <fill>
      <patternFill patternType="solid">
        <fgColor theme="0" tint="-4.9989318521683403E-2"/>
        <bgColor rgb="FFC0C0C0"/>
      </patternFill>
    </fill>
    <fill>
      <patternFill patternType="solid">
        <fgColor theme="0" tint="-0.249977111117893"/>
        <bgColor rgb="FFEEECE1"/>
      </patternFill>
    </fill>
    <fill>
      <patternFill patternType="solid">
        <fgColor rgb="FFD9D9D9"/>
        <bgColor rgb="FFEEECE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rgb="FFEEECE1"/>
      </patternFill>
    </fill>
    <fill>
      <patternFill patternType="solid">
        <fgColor theme="0" tint="-4.9989318521683403E-2"/>
        <bgColor rgb="FFEEECE1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25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4" fillId="0" borderId="0" applyBorder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1">
    <xf numFmtId="0" fontId="0" fillId="0" borderId="0" xfId="0"/>
    <xf numFmtId="0" fontId="3" fillId="0" borderId="0" xfId="2" applyAlignment="1">
      <alignment horizontal="center" vertical="center"/>
    </xf>
    <xf numFmtId="164" fontId="0" fillId="0" borderId="0" xfId="3" applyFont="1" applyFill="1" applyBorder="1" applyAlignment="1">
      <alignment vertical="center"/>
    </xf>
    <xf numFmtId="0" fontId="3" fillId="0" borderId="0" xfId="2" applyAlignment="1">
      <alignment horizontal="left" vertical="center"/>
    </xf>
    <xf numFmtId="164" fontId="0" fillId="0" borderId="0" xfId="3" applyFont="1" applyFill="1" applyBorder="1" applyAlignment="1">
      <alignment horizontal="left" vertical="center"/>
    </xf>
    <xf numFmtId="0" fontId="3" fillId="0" borderId="0" xfId="2" applyAlignment="1">
      <alignment horizontal="left" vertical="top"/>
    </xf>
    <xf numFmtId="0" fontId="5" fillId="0" borderId="0" xfId="4" applyFont="1"/>
    <xf numFmtId="49" fontId="6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left" vertical="center"/>
    </xf>
    <xf numFmtId="164" fontId="7" fillId="0" borderId="0" xfId="3" applyFont="1" applyFill="1" applyBorder="1" applyAlignment="1">
      <alignment horizontal="left" vertical="center"/>
    </xf>
    <xf numFmtId="0" fontId="3" fillId="0" borderId="0" xfId="2" applyAlignment="1">
      <alignment vertical="top"/>
    </xf>
    <xf numFmtId="49" fontId="11" fillId="0" borderId="0" xfId="2" applyNumberFormat="1" applyFont="1" applyAlignment="1">
      <alignment vertical="center"/>
    </xf>
    <xf numFmtId="0" fontId="12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 wrapText="1"/>
    </xf>
    <xf numFmtId="2" fontId="12" fillId="0" borderId="0" xfId="5" applyNumberFormat="1" applyFont="1" applyBorder="1" applyAlignment="1" applyProtection="1">
      <alignment horizontal="center" vertical="center" wrapText="1"/>
    </xf>
    <xf numFmtId="164" fontId="3" fillId="0" borderId="0" xfId="3" applyBorder="1"/>
    <xf numFmtId="49" fontId="11" fillId="0" borderId="0" xfId="2" applyNumberFormat="1" applyFont="1" applyAlignment="1">
      <alignment vertical="center" wrapText="1"/>
    </xf>
    <xf numFmtId="165" fontId="15" fillId="5" borderId="11" xfId="4" applyNumberFormat="1" applyFont="1" applyFill="1" applyBorder="1" applyAlignment="1">
      <alignment horizontal="center" vertical="center"/>
    </xf>
    <xf numFmtId="1" fontId="15" fillId="5" borderId="12" xfId="4" applyNumberFormat="1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164" fontId="17" fillId="0" borderId="1" xfId="3" applyFont="1" applyFill="1" applyBorder="1" applyAlignment="1">
      <alignment horizontal="center" vertical="center" wrapText="1"/>
    </xf>
    <xf numFmtId="0" fontId="18" fillId="0" borderId="5" xfId="2" applyFont="1" applyBorder="1" applyAlignment="1">
      <alignment horizontal="center" vertical="center"/>
    </xf>
    <xf numFmtId="14" fontId="18" fillId="0" borderId="7" xfId="2" applyNumberFormat="1" applyFont="1" applyBorder="1" applyAlignment="1">
      <alignment horizontal="center" vertical="center"/>
    </xf>
    <xf numFmtId="0" fontId="18" fillId="0" borderId="7" xfId="2" applyFont="1" applyBorder="1" applyAlignment="1">
      <alignment horizontal="center" vertical="center"/>
    </xf>
    <xf numFmtId="0" fontId="21" fillId="8" borderId="1" xfId="2" applyFont="1" applyFill="1" applyBorder="1" applyAlignment="1">
      <alignment horizontal="center" vertical="center" wrapText="1"/>
    </xf>
    <xf numFmtId="0" fontId="21" fillId="8" borderId="1" xfId="2" applyFont="1" applyFill="1" applyBorder="1" applyAlignment="1">
      <alignment horizontal="left" vertical="center" wrapText="1"/>
    </xf>
    <xf numFmtId="164" fontId="21" fillId="8" borderId="1" xfId="3" applyFont="1" applyFill="1" applyBorder="1" applyAlignment="1">
      <alignment horizontal="center" vertical="center" wrapText="1"/>
    </xf>
    <xf numFmtId="4" fontId="22" fillId="8" borderId="1" xfId="2" applyNumberFormat="1" applyFont="1" applyFill="1" applyBorder="1" applyAlignment="1">
      <alignment horizontal="center" vertical="center" shrinkToFit="1"/>
    </xf>
    <xf numFmtId="164" fontId="22" fillId="8" borderId="1" xfId="3" applyFont="1" applyFill="1" applyBorder="1" applyAlignment="1">
      <alignment horizontal="center" vertical="center" shrinkToFit="1"/>
    </xf>
    <xf numFmtId="0" fontId="20" fillId="9" borderId="1" xfId="4" applyFont="1" applyFill="1" applyBorder="1" applyAlignment="1">
      <alignment horizontal="center" vertical="center" wrapText="1"/>
    </xf>
    <xf numFmtId="0" fontId="20" fillId="9" borderId="4" xfId="4" applyFont="1" applyFill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horizontal="left" vertical="center" wrapText="1"/>
    </xf>
    <xf numFmtId="164" fontId="24" fillId="0" borderId="1" xfId="3" applyFont="1" applyFill="1" applyBorder="1" applyAlignment="1">
      <alignment vertical="center" shrinkToFit="1"/>
    </xf>
    <xf numFmtId="165" fontId="2" fillId="5" borderId="14" xfId="4" applyNumberFormat="1" applyFont="1" applyFill="1" applyBorder="1" applyAlignment="1">
      <alignment horizontal="center" vertical="center"/>
    </xf>
    <xf numFmtId="2" fontId="2" fillId="5" borderId="14" xfId="4" applyNumberFormat="1" applyFont="1" applyFill="1" applyBorder="1" applyAlignment="1">
      <alignment horizontal="center" vertical="center"/>
    </xf>
    <xf numFmtId="2" fontId="2" fillId="5" borderId="15" xfId="4" applyNumberFormat="1" applyFont="1" applyFill="1" applyBorder="1" applyAlignment="1">
      <alignment horizontal="center" vertical="center"/>
    </xf>
    <xf numFmtId="164" fontId="19" fillId="4" borderId="1" xfId="3" applyFont="1" applyFill="1" applyBorder="1" applyAlignment="1">
      <alignment vertical="center" shrinkToFit="1"/>
    </xf>
    <xf numFmtId="0" fontId="26" fillId="0" borderId="0" xfId="2" applyFont="1" applyAlignment="1">
      <alignment horizontal="left" vertical="top"/>
    </xf>
    <xf numFmtId="165" fontId="27" fillId="10" borderId="1" xfId="4" applyNumberFormat="1" applyFont="1" applyFill="1" applyBorder="1" applyAlignment="1">
      <alignment horizontal="center" vertical="center"/>
    </xf>
    <xf numFmtId="10" fontId="27" fillId="10" borderId="1" xfId="7" applyNumberFormat="1" applyFont="1" applyFill="1" applyBorder="1" applyAlignment="1">
      <alignment horizontal="center" vertical="center"/>
    </xf>
    <xf numFmtId="0" fontId="26" fillId="0" borderId="0" xfId="2" applyFont="1" applyAlignment="1">
      <alignment horizontal="left" vertical="center"/>
    </xf>
    <xf numFmtId="164" fontId="0" fillId="0" borderId="0" xfId="3" applyFont="1" applyFill="1" applyBorder="1" applyAlignment="1">
      <alignment horizontal="left" vertical="top"/>
    </xf>
    <xf numFmtId="165" fontId="2" fillId="5" borderId="16" xfId="4" applyNumberFormat="1" applyFont="1" applyFill="1" applyBorder="1" applyAlignment="1">
      <alignment horizontal="center" vertical="center"/>
    </xf>
    <xf numFmtId="2" fontId="2" fillId="5" borderId="17" xfId="4" applyNumberFormat="1" applyFont="1" applyFill="1" applyBorder="1" applyAlignment="1">
      <alignment horizontal="center" vertical="center"/>
    </xf>
    <xf numFmtId="4" fontId="2" fillId="5" borderId="14" xfId="4" applyNumberFormat="1" applyFont="1" applyFill="1" applyBorder="1" applyAlignment="1">
      <alignment horizontal="center" vertical="center"/>
    </xf>
    <xf numFmtId="0" fontId="18" fillId="9" borderId="1" xfId="4" applyFont="1" applyFill="1" applyBorder="1" applyAlignment="1">
      <alignment horizontal="center" vertical="center" wrapText="1"/>
    </xf>
    <xf numFmtId="165" fontId="28" fillId="0" borderId="14" xfId="4" applyNumberFormat="1" applyFont="1" applyBorder="1" applyAlignment="1">
      <alignment horizontal="center" vertical="center"/>
    </xf>
    <xf numFmtId="2" fontId="28" fillId="0" borderId="15" xfId="4" applyNumberFormat="1" applyFont="1" applyBorder="1" applyAlignment="1">
      <alignment horizontal="center" vertical="center"/>
    </xf>
    <xf numFmtId="0" fontId="23" fillId="0" borderId="1" xfId="6" applyFont="1" applyBorder="1" applyAlignment="1">
      <alignment horizontal="center" vertical="center" wrapText="1"/>
    </xf>
    <xf numFmtId="164" fontId="24" fillId="0" borderId="1" xfId="3" applyFont="1" applyFill="1" applyBorder="1" applyAlignment="1">
      <alignment horizontal="left" vertical="center" shrinkToFit="1"/>
    </xf>
    <xf numFmtId="0" fontId="23" fillId="0" borderId="1" xfId="6" applyFont="1" applyBorder="1" applyAlignment="1">
      <alignment horizontal="center" vertical="center"/>
    </xf>
    <xf numFmtId="0" fontId="23" fillId="0" borderId="1" xfId="6" applyFont="1" applyBorder="1" applyAlignment="1">
      <alignment vertical="center" wrapText="1"/>
    </xf>
    <xf numFmtId="164" fontId="19" fillId="4" borderId="1" xfId="8" applyFont="1" applyFill="1" applyBorder="1" applyAlignment="1">
      <alignment vertical="center" shrinkToFit="1"/>
    </xf>
    <xf numFmtId="165" fontId="29" fillId="10" borderId="1" xfId="4" applyNumberFormat="1" applyFont="1" applyFill="1" applyBorder="1" applyAlignment="1">
      <alignment horizontal="center" vertical="center"/>
    </xf>
    <xf numFmtId="2" fontId="29" fillId="10" borderId="1" xfId="4" applyNumberFormat="1" applyFont="1" applyFill="1" applyBorder="1" applyAlignment="1">
      <alignment horizontal="center" vertical="center"/>
    </xf>
    <xf numFmtId="165" fontId="2" fillId="5" borderId="18" xfId="4" applyNumberFormat="1" applyFont="1" applyFill="1" applyBorder="1" applyAlignment="1">
      <alignment horizontal="center" vertical="center"/>
    </xf>
    <xf numFmtId="2" fontId="2" fillId="5" borderId="19" xfId="4" applyNumberFormat="1" applyFont="1" applyFill="1" applyBorder="1" applyAlignment="1">
      <alignment horizontal="center" vertical="center"/>
    </xf>
    <xf numFmtId="165" fontId="2" fillId="5" borderId="15" xfId="4" applyNumberFormat="1" applyFont="1" applyFill="1" applyBorder="1" applyAlignment="1">
      <alignment horizontal="center" vertical="center"/>
    </xf>
    <xf numFmtId="2" fontId="30" fillId="5" borderId="15" xfId="4" applyNumberFormat="1" applyFont="1" applyFill="1" applyBorder="1" applyAlignment="1">
      <alignment horizontal="center" vertical="center"/>
    </xf>
    <xf numFmtId="0" fontId="30" fillId="5" borderId="15" xfId="4" applyFont="1" applyFill="1" applyBorder="1" applyAlignment="1">
      <alignment horizontal="center" vertical="center"/>
    </xf>
    <xf numFmtId="4" fontId="2" fillId="5" borderId="15" xfId="4" applyNumberFormat="1" applyFont="1" applyFill="1" applyBorder="1" applyAlignment="1">
      <alignment horizontal="center" vertical="center"/>
    </xf>
    <xf numFmtId="0" fontId="23" fillId="0" borderId="1" xfId="6" applyFont="1" applyBorder="1" applyAlignment="1">
      <alignment horizontal="left" vertical="center" wrapText="1"/>
    </xf>
    <xf numFmtId="0" fontId="14" fillId="0" borderId="0" xfId="2" applyFont="1" applyAlignment="1">
      <alignment horizontal="right" vertical="center" wrapText="1" indent="2"/>
    </xf>
    <xf numFmtId="164" fontId="19" fillId="0" borderId="0" xfId="3" applyFont="1" applyFill="1" applyBorder="1" applyAlignment="1">
      <alignment horizontal="center" vertical="center" shrinkToFit="1"/>
    </xf>
    <xf numFmtId="44" fontId="26" fillId="0" borderId="0" xfId="2" applyNumberFormat="1" applyFont="1" applyAlignment="1">
      <alignment horizontal="left" vertical="center"/>
    </xf>
    <xf numFmtId="10" fontId="14" fillId="3" borderId="4" xfId="6" applyNumberFormat="1" applyFont="1" applyFill="1" applyBorder="1" applyAlignment="1">
      <alignment horizontal="center" vertical="center" wrapText="1"/>
    </xf>
    <xf numFmtId="164" fontId="6" fillId="2" borderId="3" xfId="3" applyFont="1" applyFill="1" applyBorder="1" applyAlignment="1">
      <alignment horizontal="center" vertical="center"/>
    </xf>
    <xf numFmtId="9" fontId="6" fillId="2" borderId="1" xfId="7" applyFont="1" applyFill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49" fontId="8" fillId="0" borderId="0" xfId="2" applyNumberFormat="1" applyFont="1" applyAlignment="1">
      <alignment vertical="center"/>
    </xf>
    <xf numFmtId="0" fontId="35" fillId="0" borderId="0" xfId="6" applyFont="1" applyAlignment="1">
      <alignment horizontal="left" vertical="center" indent="9"/>
    </xf>
    <xf numFmtId="0" fontId="35" fillId="0" borderId="0" xfId="6" applyFont="1" applyAlignment="1">
      <alignment vertical="center" wrapText="1"/>
    </xf>
    <xf numFmtId="0" fontId="35" fillId="0" borderId="0" xfId="6" applyFont="1" applyAlignment="1">
      <alignment horizontal="left" vertical="center" indent="7"/>
    </xf>
    <xf numFmtId="164" fontId="8" fillId="0" borderId="0" xfId="3" applyFont="1" applyBorder="1" applyAlignment="1">
      <alignment vertical="center"/>
    </xf>
    <xf numFmtId="0" fontId="35" fillId="0" borderId="0" xfId="6" applyFont="1" applyAlignment="1">
      <alignment horizontal="left" vertical="center" wrapText="1"/>
    </xf>
    <xf numFmtId="164" fontId="5" fillId="0" borderId="0" xfId="3" applyFont="1"/>
    <xf numFmtId="44" fontId="8" fillId="0" borderId="0" xfId="8" applyNumberFormat="1" applyFont="1" applyFill="1" applyBorder="1" applyAlignment="1">
      <alignment horizontal="center" vertical="center"/>
    </xf>
    <xf numFmtId="44" fontId="6" fillId="0" borderId="0" xfId="8" applyNumberFormat="1" applyFont="1" applyBorder="1" applyAlignment="1">
      <alignment horizontal="center" vertical="center" wrapText="1"/>
    </xf>
    <xf numFmtId="49" fontId="8" fillId="2" borderId="13" xfId="2" applyNumberFormat="1" applyFont="1" applyFill="1" applyBorder="1" applyAlignment="1">
      <alignment vertical="center"/>
    </xf>
    <xf numFmtId="49" fontId="10" fillId="0" borderId="0" xfId="2" applyNumberFormat="1" applyFont="1" applyAlignment="1">
      <alignment vertical="center"/>
    </xf>
    <xf numFmtId="44" fontId="0" fillId="0" borderId="0" xfId="8" applyNumberFormat="1" applyFont="1" applyFill="1" applyBorder="1" applyAlignment="1">
      <alignment horizontal="left" vertical="top"/>
    </xf>
    <xf numFmtId="0" fontId="6" fillId="11" borderId="1" xfId="2" applyFont="1" applyFill="1" applyBorder="1" applyAlignment="1">
      <alignment horizontal="center" vertical="center"/>
    </xf>
    <xf numFmtId="44" fontId="6" fillId="11" borderId="1" xfId="8" applyNumberFormat="1" applyFont="1" applyFill="1" applyBorder="1" applyAlignment="1">
      <alignment horizontal="center" vertical="center"/>
    </xf>
    <xf numFmtId="0" fontId="3" fillId="0" borderId="0" xfId="2" applyAlignment="1">
      <alignment wrapText="1"/>
    </xf>
    <xf numFmtId="0" fontId="3" fillId="0" borderId="0" xfId="2"/>
    <xf numFmtId="0" fontId="9" fillId="0" borderId="1" xfId="2" applyFont="1" applyBorder="1" applyAlignment="1">
      <alignment horizontal="center" vertical="center"/>
    </xf>
    <xf numFmtId="43" fontId="29" fillId="0" borderId="1" xfId="5" applyFont="1" applyFill="1" applyBorder="1" applyAlignment="1" applyProtection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9" fillId="11" borderId="1" xfId="2" applyFont="1" applyFill="1" applyBorder="1" applyAlignment="1">
      <alignment horizontal="center" vertical="center" wrapText="1"/>
    </xf>
    <xf numFmtId="44" fontId="9" fillId="11" borderId="1" xfId="8" applyNumberFormat="1" applyFont="1" applyFill="1" applyBorder="1" applyAlignment="1">
      <alignment horizontal="center" vertical="center" wrapText="1"/>
    </xf>
    <xf numFmtId="43" fontId="29" fillId="5" borderId="1" xfId="5" applyFont="1" applyFill="1" applyBorder="1" applyAlignment="1" applyProtection="1">
      <alignment horizontal="center" vertical="center"/>
    </xf>
    <xf numFmtId="166" fontId="9" fillId="0" borderId="1" xfId="2" applyNumberFormat="1" applyFont="1" applyBorder="1" applyAlignment="1">
      <alignment horizontal="center" vertical="center"/>
    </xf>
    <xf numFmtId="167" fontId="9" fillId="0" borderId="1" xfId="2" applyNumberFormat="1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44" fontId="6" fillId="12" borderId="1" xfId="8" applyNumberFormat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vertical="center" wrapText="1"/>
    </xf>
    <xf numFmtId="44" fontId="9" fillId="0" borderId="1" xfId="8" applyNumberFormat="1" applyFont="1" applyFill="1" applyBorder="1" applyAlignment="1">
      <alignment horizontal="center" vertical="center" wrapText="1"/>
    </xf>
    <xf numFmtId="0" fontId="9" fillId="0" borderId="1" xfId="5" applyNumberFormat="1" applyFont="1" applyFill="1" applyBorder="1" applyAlignment="1" applyProtection="1">
      <alignment horizontal="left" vertical="center" wrapText="1"/>
    </xf>
    <xf numFmtId="0" fontId="37" fillId="0" borderId="21" xfId="2" applyFont="1" applyBorder="1" applyAlignment="1">
      <alignment horizontal="center" vertical="center" wrapText="1"/>
    </xf>
    <xf numFmtId="166" fontId="37" fillId="0" borderId="21" xfId="2" applyNumberFormat="1" applyFont="1" applyBorder="1" applyAlignment="1">
      <alignment horizontal="center" vertical="center" wrapText="1"/>
    </xf>
    <xf numFmtId="44" fontId="9" fillId="0" borderId="2" xfId="8" applyNumberFormat="1" applyFont="1" applyFill="1" applyBorder="1" applyAlignment="1">
      <alignment horizontal="center" vertical="center"/>
    </xf>
    <xf numFmtId="168" fontId="37" fillId="0" borderId="21" xfId="2" applyNumberFormat="1" applyFont="1" applyBorder="1" applyAlignment="1">
      <alignment horizontal="center" vertical="center" wrapText="1"/>
    </xf>
    <xf numFmtId="0" fontId="8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7" fillId="0" borderId="0" xfId="4" applyFont="1"/>
    <xf numFmtId="0" fontId="9" fillId="0" borderId="0" xfId="4" applyFont="1"/>
    <xf numFmtId="165" fontId="7" fillId="0" borderId="0" xfId="4" applyNumberFormat="1" applyFont="1"/>
    <xf numFmtId="0" fontId="18" fillId="11" borderId="1" xfId="4" applyFont="1" applyFill="1" applyBorder="1" applyAlignment="1">
      <alignment horizontal="center" vertical="center"/>
    </xf>
    <xf numFmtId="1" fontId="28" fillId="5" borderId="1" xfId="4" applyNumberFormat="1" applyFont="1" applyFill="1" applyBorder="1" applyAlignment="1">
      <alignment vertical="center"/>
    </xf>
    <xf numFmtId="165" fontId="28" fillId="5" borderId="1" xfId="4" applyNumberFormat="1" applyFont="1" applyFill="1" applyBorder="1" applyAlignment="1">
      <alignment vertical="center"/>
    </xf>
    <xf numFmtId="2" fontId="28" fillId="5" borderId="1" xfId="4" applyNumberFormat="1" applyFont="1" applyFill="1" applyBorder="1" applyAlignment="1">
      <alignment horizontal="center" vertical="center"/>
    </xf>
    <xf numFmtId="165" fontId="28" fillId="0" borderId="1" xfId="4" applyNumberFormat="1" applyFont="1" applyBorder="1" applyAlignment="1">
      <alignment vertical="center"/>
    </xf>
    <xf numFmtId="2" fontId="28" fillId="0" borderId="1" xfId="4" applyNumberFormat="1" applyFont="1" applyBorder="1" applyAlignment="1">
      <alignment horizontal="center" vertical="center"/>
    </xf>
    <xf numFmtId="1" fontId="7" fillId="5" borderId="1" xfId="4" applyNumberFormat="1" applyFont="1" applyFill="1" applyBorder="1" applyAlignment="1">
      <alignment vertical="center"/>
    </xf>
    <xf numFmtId="165" fontId="7" fillId="5" borderId="1" xfId="4" applyNumberFormat="1" applyFont="1" applyFill="1" applyBorder="1" applyAlignment="1">
      <alignment vertical="center"/>
    </xf>
    <xf numFmtId="0" fontId="18" fillId="11" borderId="1" xfId="4" applyFont="1" applyFill="1" applyBorder="1" applyAlignment="1">
      <alignment horizontal="right" vertical="center"/>
    </xf>
    <xf numFmtId="165" fontId="18" fillId="11" borderId="1" xfId="4" applyNumberFormat="1" applyFont="1" applyFill="1" applyBorder="1" applyAlignment="1">
      <alignment vertical="center"/>
    </xf>
    <xf numFmtId="10" fontId="18" fillId="11" borderId="1" xfId="9" applyNumberFormat="1" applyFont="1" applyFill="1" applyBorder="1" applyAlignment="1" applyProtection="1">
      <alignment horizontal="center" vertical="center"/>
    </xf>
    <xf numFmtId="0" fontId="7" fillId="0" borderId="0" xfId="2" applyFont="1" applyAlignment="1">
      <alignment horizontal="left" vertical="top"/>
    </xf>
    <xf numFmtId="165" fontId="18" fillId="14" borderId="1" xfId="4" applyNumberFormat="1" applyFont="1" applyFill="1" applyBorder="1" applyAlignment="1">
      <alignment horizontal="center" vertical="center"/>
    </xf>
    <xf numFmtId="10" fontId="18" fillId="14" borderId="1" xfId="9" applyNumberFormat="1" applyFont="1" applyFill="1" applyBorder="1" applyAlignment="1" applyProtection="1">
      <alignment horizontal="center" vertical="center"/>
    </xf>
    <xf numFmtId="0" fontId="28" fillId="0" borderId="0" xfId="6" applyFont="1" applyAlignment="1">
      <alignment horizontal="center" vertical="center"/>
    </xf>
    <xf numFmtId="0" fontId="28" fillId="0" borderId="0" xfId="6" applyFont="1" applyAlignment="1">
      <alignment horizontal="left" vertical="center" wrapText="1"/>
    </xf>
    <xf numFmtId="0" fontId="18" fillId="9" borderId="0" xfId="4" applyFont="1" applyFill="1" applyAlignment="1">
      <alignment horizontal="center" vertical="center" wrapText="1"/>
    </xf>
    <xf numFmtId="168" fontId="9" fillId="0" borderId="1" xfId="2" applyNumberFormat="1" applyFont="1" applyBorder="1" applyAlignment="1">
      <alignment horizontal="center" vertical="center"/>
    </xf>
    <xf numFmtId="49" fontId="8" fillId="0" borderId="6" xfId="2" applyNumberFormat="1" applyFont="1" applyBorder="1" applyAlignment="1">
      <alignment horizontal="left" vertical="center" indent="1"/>
    </xf>
    <xf numFmtId="49" fontId="8" fillId="0" borderId="13" xfId="2" applyNumberFormat="1" applyFont="1" applyBorder="1" applyAlignment="1">
      <alignment vertical="center"/>
    </xf>
    <xf numFmtId="4" fontId="24" fillId="0" borderId="1" xfId="2" applyNumberFormat="1" applyFont="1" applyBorder="1" applyAlignment="1">
      <alignment horizontal="center" vertical="center" shrinkToFit="1"/>
    </xf>
    <xf numFmtId="4" fontId="24" fillId="0" borderId="1" xfId="6" applyNumberFormat="1" applyFont="1" applyBorder="1" applyAlignment="1">
      <alignment horizontal="center" vertical="center" shrinkToFit="1"/>
    </xf>
    <xf numFmtId="10" fontId="18" fillId="11" borderId="1" xfId="7" applyNumberFormat="1" applyFont="1" applyFill="1" applyBorder="1" applyAlignment="1">
      <alignment horizontal="center" vertical="center"/>
    </xf>
    <xf numFmtId="44" fontId="18" fillId="11" borderId="1" xfId="10" applyFont="1" applyFill="1" applyBorder="1" applyAlignment="1" applyProtection="1">
      <alignment horizontal="center" vertical="center"/>
    </xf>
    <xf numFmtId="44" fontId="18" fillId="14" borderId="1" xfId="10" applyFont="1" applyFill="1" applyBorder="1" applyAlignment="1" applyProtection="1">
      <alignment horizontal="center" vertical="center"/>
    </xf>
    <xf numFmtId="49" fontId="10" fillId="0" borderId="6" xfId="2" applyNumberFormat="1" applyFont="1" applyBorder="1" applyAlignment="1">
      <alignment horizontal="left" vertical="center" indent="1"/>
    </xf>
    <xf numFmtId="49" fontId="10" fillId="0" borderId="13" xfId="2" applyNumberFormat="1" applyFont="1" applyBorder="1" applyAlignment="1">
      <alignment vertical="center"/>
    </xf>
    <xf numFmtId="49" fontId="10" fillId="0" borderId="4" xfId="2" applyNumberFormat="1" applyFont="1" applyBorder="1" applyAlignment="1">
      <alignment vertical="center"/>
    </xf>
    <xf numFmtId="0" fontId="32" fillId="0" borderId="0" xfId="2" applyFont="1" applyAlignment="1">
      <alignment horizontal="center" vertical="center"/>
    </xf>
    <xf numFmtId="0" fontId="33" fillId="0" borderId="0" xfId="2" applyFont="1" applyAlignment="1">
      <alignment horizontal="center" vertical="center"/>
    </xf>
    <xf numFmtId="0" fontId="17" fillId="0" borderId="0" xfId="2" applyFont="1" applyAlignment="1">
      <alignment vertical="center"/>
    </xf>
    <xf numFmtId="0" fontId="25" fillId="0" borderId="0" xfId="6" applyAlignment="1">
      <alignment horizontal="left" vertical="center" indent="2"/>
    </xf>
    <xf numFmtId="0" fontId="25" fillId="0" borderId="0" xfId="6" applyAlignment="1">
      <alignment vertical="center"/>
    </xf>
    <xf numFmtId="49" fontId="6" fillId="0" borderId="0" xfId="2" applyNumberFormat="1" applyFont="1" applyAlignment="1">
      <alignment vertical="center"/>
    </xf>
    <xf numFmtId="0" fontId="34" fillId="0" borderId="0" xfId="6" applyFont="1" applyAlignment="1">
      <alignment horizontal="left" vertical="center" indent="5"/>
    </xf>
    <xf numFmtId="49" fontId="6" fillId="0" borderId="0" xfId="2" applyNumberFormat="1" applyFont="1" applyAlignment="1">
      <alignment horizontal="center" vertical="center"/>
    </xf>
    <xf numFmtId="164" fontId="8" fillId="0" borderId="0" xfId="3" applyFont="1" applyFill="1" applyBorder="1" applyAlignment="1">
      <alignment vertical="center"/>
    </xf>
    <xf numFmtId="169" fontId="26" fillId="0" borderId="0" xfId="11" applyNumberFormat="1" applyFont="1" applyAlignment="1">
      <alignment horizontal="center" vertical="center"/>
    </xf>
    <xf numFmtId="169" fontId="26" fillId="0" borderId="0" xfId="11" applyNumberFormat="1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20" fillId="7" borderId="6" xfId="4" applyFont="1" applyFill="1" applyBorder="1" applyAlignment="1">
      <alignment horizontal="center" vertical="center" wrapText="1"/>
    </xf>
    <xf numFmtId="0" fontId="20" fillId="7" borderId="4" xfId="4" applyFont="1" applyFill="1" applyBorder="1" applyAlignment="1">
      <alignment horizontal="center" vertical="center" wrapText="1"/>
    </xf>
    <xf numFmtId="0" fontId="20" fillId="7" borderId="1" xfId="4" applyFont="1" applyFill="1" applyBorder="1" applyAlignment="1">
      <alignment horizontal="center" vertical="center" wrapText="1"/>
    </xf>
    <xf numFmtId="0" fontId="9" fillId="0" borderId="1" xfId="2" quotePrefix="1" applyFont="1" applyBorder="1" applyAlignment="1">
      <alignment horizontal="center" vertical="center"/>
    </xf>
    <xf numFmtId="165" fontId="28" fillId="0" borderId="22" xfId="4" applyNumberFormat="1" applyFont="1" applyBorder="1" applyAlignment="1">
      <alignment horizontal="center" vertical="center"/>
    </xf>
    <xf numFmtId="2" fontId="28" fillId="0" borderId="22" xfId="4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164" fontId="24" fillId="0" borderId="1" xfId="8" applyFont="1" applyFill="1" applyBorder="1" applyAlignment="1">
      <alignment horizontal="center" vertical="center" shrinkToFit="1"/>
    </xf>
    <xf numFmtId="4" fontId="21" fillId="8" borderId="1" xfId="2" applyNumberFormat="1" applyFont="1" applyFill="1" applyBorder="1" applyAlignment="1">
      <alignment horizontal="center" vertical="center" wrapText="1"/>
    </xf>
    <xf numFmtId="49" fontId="10" fillId="2" borderId="6" xfId="2" applyNumberFormat="1" applyFont="1" applyFill="1" applyBorder="1" applyAlignment="1">
      <alignment horizontal="left" vertical="center" indent="1"/>
    </xf>
    <xf numFmtId="0" fontId="13" fillId="4" borderId="1" xfId="2" applyFont="1" applyFill="1" applyBorder="1" applyAlignment="1">
      <alignment horizontal="center" vertical="center" wrapText="1"/>
    </xf>
    <xf numFmtId="0" fontId="14" fillId="4" borderId="1" xfId="2" applyFont="1" applyFill="1" applyBorder="1" applyAlignment="1">
      <alignment horizontal="center" vertical="center" wrapText="1"/>
    </xf>
    <xf numFmtId="0" fontId="38" fillId="15" borderId="8" xfId="2" applyFont="1" applyFill="1" applyBorder="1" applyAlignment="1">
      <alignment horizontal="center" vertical="center" wrapText="1"/>
    </xf>
    <xf numFmtId="0" fontId="38" fillId="15" borderId="9" xfId="2" applyFont="1" applyFill="1" applyBorder="1" applyAlignment="1">
      <alignment horizontal="center" vertical="center" wrapText="1"/>
    </xf>
    <xf numFmtId="0" fontId="38" fillId="15" borderId="10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left" vertical="center" indent="1"/>
    </xf>
    <xf numFmtId="49" fontId="6" fillId="3" borderId="1" xfId="2" applyNumberFormat="1" applyFont="1" applyFill="1" applyBorder="1" applyAlignment="1">
      <alignment horizontal="left" vertical="center" wrapText="1" indent="1"/>
    </xf>
    <xf numFmtId="49" fontId="8" fillId="0" borderId="1" xfId="2" applyNumberFormat="1" applyFont="1" applyBorder="1" applyAlignment="1">
      <alignment horizontal="left" vertical="center" indent="1"/>
    </xf>
    <xf numFmtId="49" fontId="8" fillId="0" borderId="1" xfId="2" applyNumberFormat="1" applyFont="1" applyBorder="1" applyAlignment="1">
      <alignment horizontal="left" vertical="center" wrapText="1" indent="1"/>
    </xf>
    <xf numFmtId="49" fontId="10" fillId="0" borderId="1" xfId="2" applyNumberFormat="1" applyFont="1" applyBorder="1" applyAlignment="1">
      <alignment horizontal="left" vertical="center" indent="1"/>
    </xf>
    <xf numFmtId="0" fontId="20" fillId="7" borderId="3" xfId="4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1" fontId="19" fillId="6" borderId="6" xfId="2" applyNumberFormat="1" applyFont="1" applyFill="1" applyBorder="1" applyAlignment="1">
      <alignment horizontal="center" vertical="center" shrinkToFit="1"/>
    </xf>
    <xf numFmtId="1" fontId="19" fillId="6" borderId="13" xfId="2" applyNumberFormat="1" applyFont="1" applyFill="1" applyBorder="1" applyAlignment="1">
      <alignment horizontal="center" vertical="center" shrinkToFit="1"/>
    </xf>
    <xf numFmtId="1" fontId="19" fillId="6" borderId="4" xfId="2" applyNumberFormat="1" applyFont="1" applyFill="1" applyBorder="1" applyAlignment="1">
      <alignment horizontal="center" vertical="center" shrinkToFit="1"/>
    </xf>
    <xf numFmtId="0" fontId="20" fillId="7" borderId="1" xfId="4" applyFont="1" applyFill="1" applyBorder="1" applyAlignment="1">
      <alignment horizontal="center" vertical="center" wrapText="1"/>
    </xf>
    <xf numFmtId="0" fontId="20" fillId="7" borderId="7" xfId="4" applyFont="1" applyFill="1" applyBorder="1" applyAlignment="1">
      <alignment horizontal="center" vertical="center" wrapText="1"/>
    </xf>
    <xf numFmtId="0" fontId="14" fillId="4" borderId="6" xfId="6" applyFont="1" applyFill="1" applyBorder="1" applyAlignment="1">
      <alignment horizontal="right" vertical="center" wrapText="1" indent="3"/>
    </xf>
    <xf numFmtId="0" fontId="14" fillId="4" borderId="13" xfId="6" applyFont="1" applyFill="1" applyBorder="1" applyAlignment="1">
      <alignment horizontal="right" vertical="center" wrapText="1" indent="3"/>
    </xf>
    <xf numFmtId="0" fontId="14" fillId="4" borderId="4" xfId="6" applyFont="1" applyFill="1" applyBorder="1" applyAlignment="1">
      <alignment horizontal="right" vertical="center" wrapText="1" indent="3"/>
    </xf>
    <xf numFmtId="0" fontId="20" fillId="7" borderId="6" xfId="4" applyFont="1" applyFill="1" applyBorder="1" applyAlignment="1">
      <alignment horizontal="center" vertical="center" wrapText="1"/>
    </xf>
    <xf numFmtId="0" fontId="20" fillId="7" borderId="4" xfId="4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right" vertical="center" wrapText="1" indent="2"/>
    </xf>
    <xf numFmtId="0" fontId="14" fillId="3" borderId="6" xfId="2" applyFont="1" applyFill="1" applyBorder="1" applyAlignment="1">
      <alignment horizontal="right" vertical="center" wrapText="1" indent="2"/>
    </xf>
    <xf numFmtId="164" fontId="19" fillId="3" borderId="6" xfId="3" applyFont="1" applyFill="1" applyBorder="1" applyAlignment="1">
      <alignment horizontal="center" vertical="center" shrinkToFit="1"/>
    </xf>
    <xf numFmtId="164" fontId="19" fillId="3" borderId="13" xfId="3" applyFont="1" applyFill="1" applyBorder="1" applyAlignment="1">
      <alignment horizontal="center" vertical="center" shrinkToFit="1"/>
    </xf>
    <xf numFmtId="164" fontId="19" fillId="3" borderId="4" xfId="3" applyFont="1" applyFill="1" applyBorder="1" applyAlignment="1">
      <alignment horizontal="center" vertical="center" shrinkToFit="1"/>
    </xf>
    <xf numFmtId="164" fontId="18" fillId="3" borderId="1" xfId="3" applyFont="1" applyFill="1" applyBorder="1" applyAlignment="1">
      <alignment horizontal="center" vertical="center" wrapText="1"/>
    </xf>
    <xf numFmtId="0" fontId="14" fillId="3" borderId="6" xfId="6" applyFont="1" applyFill="1" applyBorder="1" applyAlignment="1">
      <alignment horizontal="right" vertical="center" wrapText="1"/>
    </xf>
    <xf numFmtId="0" fontId="14" fillId="3" borderId="13" xfId="6" applyFont="1" applyFill="1" applyBorder="1" applyAlignment="1">
      <alignment horizontal="right" vertical="center" wrapText="1"/>
    </xf>
    <xf numFmtId="164" fontId="19" fillId="3" borderId="5" xfId="3" applyFont="1" applyFill="1" applyBorder="1" applyAlignment="1">
      <alignment horizontal="center" vertical="center" shrinkToFit="1"/>
    </xf>
    <xf numFmtId="164" fontId="19" fillId="3" borderId="20" xfId="3" applyFont="1" applyFill="1" applyBorder="1" applyAlignment="1">
      <alignment horizontal="center" vertical="center" shrinkToFit="1"/>
    </xf>
    <xf numFmtId="164" fontId="19" fillId="3" borderId="7" xfId="3" applyFont="1" applyFill="1" applyBorder="1" applyAlignment="1">
      <alignment horizontal="center" vertical="center" shrinkToFit="1"/>
    </xf>
    <xf numFmtId="0" fontId="18" fillId="3" borderId="6" xfId="3" applyNumberFormat="1" applyFont="1" applyFill="1" applyBorder="1" applyAlignment="1">
      <alignment horizontal="center" vertical="center" wrapText="1"/>
    </xf>
    <xf numFmtId="0" fontId="18" fillId="3" borderId="4" xfId="3" applyNumberFormat="1" applyFont="1" applyFill="1" applyBorder="1" applyAlignment="1">
      <alignment horizontal="center" vertical="center" wrapText="1"/>
    </xf>
    <xf numFmtId="49" fontId="8" fillId="0" borderId="0" xfId="2" applyNumberFormat="1" applyFont="1" applyAlignment="1">
      <alignment horizontal="center" vertical="center"/>
    </xf>
    <xf numFmtId="0" fontId="31" fillId="2" borderId="1" xfId="2" applyFont="1" applyFill="1" applyBorder="1" applyAlignment="1">
      <alignment horizontal="right" vertical="center" wrapText="1" indent="2"/>
    </xf>
    <xf numFmtId="164" fontId="19" fillId="2" borderId="1" xfId="3" applyFont="1" applyFill="1" applyBorder="1" applyAlignment="1">
      <alignment horizontal="center" vertical="center" shrinkToFit="1"/>
    </xf>
    <xf numFmtId="0" fontId="41" fillId="0" borderId="0" xfId="6" applyFont="1" applyAlignment="1">
      <alignment horizontal="left" vertical="center" wrapText="1" indent="1"/>
    </xf>
    <xf numFmtId="0" fontId="39" fillId="0" borderId="0" xfId="2" applyFont="1" applyAlignment="1">
      <alignment horizontal="center" vertical="center"/>
    </xf>
    <xf numFmtId="0" fontId="36" fillId="0" borderId="0" xfId="2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1" fontId="19" fillId="6" borderId="1" xfId="2" applyNumberFormat="1" applyFont="1" applyFill="1" applyBorder="1" applyAlignment="1">
      <alignment horizontal="center" vertical="center" shrinkToFit="1"/>
    </xf>
    <xf numFmtId="0" fontId="14" fillId="4" borderId="1" xfId="6" applyFont="1" applyFill="1" applyBorder="1" applyAlignment="1">
      <alignment horizontal="right" vertical="center" wrapText="1" indent="3"/>
    </xf>
    <xf numFmtId="0" fontId="9" fillId="0" borderId="1" xfId="2" applyFont="1" applyBorder="1" applyAlignment="1">
      <alignment horizontal="center" vertical="center"/>
    </xf>
    <xf numFmtId="0" fontId="6" fillId="12" borderId="6" xfId="2" applyFont="1" applyFill="1" applyBorder="1" applyAlignment="1">
      <alignment horizontal="right" vertical="center" wrapText="1"/>
    </xf>
    <xf numFmtId="0" fontId="6" fillId="12" borderId="13" xfId="2" applyFont="1" applyFill="1" applyBorder="1" applyAlignment="1">
      <alignment horizontal="right" vertical="center" wrapText="1"/>
    </xf>
    <xf numFmtId="0" fontId="6" fillId="12" borderId="4" xfId="2" applyFont="1" applyFill="1" applyBorder="1" applyAlignment="1">
      <alignment horizontal="right" vertical="center" wrapText="1"/>
    </xf>
    <xf numFmtId="0" fontId="9" fillId="0" borderId="6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6" fillId="11" borderId="1" xfId="2" applyFont="1" applyFill="1" applyBorder="1" applyAlignment="1">
      <alignment horizontal="center" vertical="center"/>
    </xf>
    <xf numFmtId="0" fontId="36" fillId="15" borderId="1" xfId="2" applyFont="1" applyFill="1" applyBorder="1" applyAlignment="1">
      <alignment horizontal="center" vertical="center"/>
    </xf>
    <xf numFmtId="0" fontId="6" fillId="11" borderId="6" xfId="2" applyFont="1" applyFill="1" applyBorder="1" applyAlignment="1">
      <alignment horizontal="center" vertical="center"/>
    </xf>
    <xf numFmtId="0" fontId="6" fillId="11" borderId="4" xfId="2" applyFont="1" applyFill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6" fillId="12" borderId="5" xfId="2" applyFont="1" applyFill="1" applyBorder="1" applyAlignment="1">
      <alignment horizontal="right" vertical="center" wrapText="1"/>
    </xf>
    <xf numFmtId="0" fontId="6" fillId="12" borderId="20" xfId="2" applyFont="1" applyFill="1" applyBorder="1" applyAlignment="1">
      <alignment horizontal="right" vertical="center" wrapText="1"/>
    </xf>
    <xf numFmtId="0" fontId="6" fillId="12" borderId="7" xfId="2" applyFont="1" applyFill="1" applyBorder="1" applyAlignment="1">
      <alignment horizontal="right" vertical="center" wrapText="1"/>
    </xf>
    <xf numFmtId="0" fontId="7" fillId="0" borderId="0" xfId="4" applyFont="1" applyAlignment="1">
      <alignment horizontal="center"/>
    </xf>
    <xf numFmtId="0" fontId="40" fillId="15" borderId="6" xfId="4" applyFont="1" applyFill="1" applyBorder="1" applyAlignment="1">
      <alignment horizontal="center" vertical="center"/>
    </xf>
    <xf numFmtId="0" fontId="40" fillId="15" borderId="13" xfId="4" applyFont="1" applyFill="1" applyBorder="1" applyAlignment="1">
      <alignment horizontal="center" vertical="center"/>
    </xf>
    <xf numFmtId="0" fontId="40" fillId="15" borderId="4" xfId="4" applyFont="1" applyFill="1" applyBorder="1" applyAlignment="1">
      <alignment horizontal="center" vertical="center"/>
    </xf>
    <xf numFmtId="49" fontId="10" fillId="0" borderId="6" xfId="2" applyNumberFormat="1" applyFont="1" applyBorder="1" applyAlignment="1">
      <alignment horizontal="left" vertical="center"/>
    </xf>
    <xf numFmtId="49" fontId="10" fillId="0" borderId="13" xfId="2" applyNumberFormat="1" applyFont="1" applyBorder="1" applyAlignment="1">
      <alignment horizontal="left" vertical="center"/>
    </xf>
    <xf numFmtId="49" fontId="10" fillId="0" borderId="4" xfId="2" applyNumberFormat="1" applyFont="1" applyBorder="1" applyAlignment="1">
      <alignment horizontal="left" vertical="center"/>
    </xf>
    <xf numFmtId="49" fontId="8" fillId="0" borderId="6" xfId="2" applyNumberFormat="1" applyFont="1" applyBorder="1" applyAlignment="1">
      <alignment horizontal="left" vertical="center"/>
    </xf>
    <xf numFmtId="49" fontId="8" fillId="0" borderId="13" xfId="2" applyNumberFormat="1" applyFont="1" applyBorder="1" applyAlignment="1">
      <alignment horizontal="left" vertical="center"/>
    </xf>
    <xf numFmtId="49" fontId="8" fillId="0" borderId="4" xfId="2" applyNumberFormat="1" applyFont="1" applyBorder="1" applyAlignment="1">
      <alignment horizontal="left" vertical="center"/>
    </xf>
    <xf numFmtId="49" fontId="10" fillId="2" borderId="6" xfId="2" applyNumberFormat="1" applyFont="1" applyFill="1" applyBorder="1" applyAlignment="1">
      <alignment horizontal="left" vertical="center"/>
    </xf>
    <xf numFmtId="49" fontId="10" fillId="2" borderId="13" xfId="2" applyNumberFormat="1" applyFont="1" applyFill="1" applyBorder="1" applyAlignment="1">
      <alignment horizontal="left" vertical="center"/>
    </xf>
    <xf numFmtId="49" fontId="10" fillId="2" borderId="4" xfId="2" applyNumberFormat="1" applyFont="1" applyFill="1" applyBorder="1" applyAlignment="1">
      <alignment horizontal="left" vertical="center"/>
    </xf>
    <xf numFmtId="0" fontId="18" fillId="7" borderId="1" xfId="4" applyFont="1" applyFill="1" applyBorder="1" applyAlignment="1">
      <alignment horizontal="center" vertical="center"/>
    </xf>
    <xf numFmtId="0" fontId="18" fillId="13" borderId="1" xfId="4" applyFont="1" applyFill="1" applyBorder="1" applyAlignment="1">
      <alignment horizontal="center" vertical="center"/>
    </xf>
    <xf numFmtId="0" fontId="18" fillId="7" borderId="6" xfId="4" applyFont="1" applyFill="1" applyBorder="1" applyAlignment="1">
      <alignment horizontal="center" vertical="center"/>
    </xf>
    <xf numFmtId="0" fontId="18" fillId="7" borderId="4" xfId="4" applyFont="1" applyFill="1" applyBorder="1" applyAlignment="1">
      <alignment horizontal="center" vertical="center"/>
    </xf>
    <xf numFmtId="165" fontId="18" fillId="7" borderId="1" xfId="4" applyNumberFormat="1" applyFont="1" applyFill="1" applyBorder="1" applyAlignment="1">
      <alignment horizontal="center" vertical="center"/>
    </xf>
  </cellXfs>
  <cellStyles count="12">
    <cellStyle name="Moeda" xfId="10" builtinId="4"/>
    <cellStyle name="Moeda 2" xfId="1" xr:uid="{9A296477-D667-4E44-97DB-2B866DABCCEE}"/>
    <cellStyle name="Moeda 2 2" xfId="8" xr:uid="{C51BA44B-69E7-47A0-BCCB-F743B28FCBA5}"/>
    <cellStyle name="Moeda 3" xfId="3" xr:uid="{2BA94042-BC98-41E8-8303-1965E478C269}"/>
    <cellStyle name="Normal" xfId="0" builtinId="0"/>
    <cellStyle name="Normal 2" xfId="2" xr:uid="{8D04E42E-0A20-4F81-8555-18681A9AC4AA}"/>
    <cellStyle name="Normal 2 2" xfId="6" xr:uid="{4F0AFF82-9D95-4FEE-B9F4-F3134E3E5B99}"/>
    <cellStyle name="Normal 3" xfId="4" xr:uid="{090185AE-238D-499C-B12A-2B7A5703059B}"/>
    <cellStyle name="Porcentagem" xfId="11" builtinId="5"/>
    <cellStyle name="Porcentagem 2" xfId="7" xr:uid="{F65E0AD8-EF1A-4664-9278-A5193AAECAA7}"/>
    <cellStyle name="Porcentagem 2 2" xfId="9" xr:uid="{4344A871-D133-42F9-9474-AA5722C0E802}"/>
    <cellStyle name="Vírgula 2" xfId="5" xr:uid="{8E9B9FC8-9CD1-42FC-9A52-B12630FA90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microsoft.com/office/2017/10/relationships/person" Target="persons/person1.xml"/><Relationship Id="rId3" Type="http://schemas.openxmlformats.org/officeDocument/2006/relationships/worksheet" Target="worksheets/sheet3.xml"/><Relationship Id="rId21" Type="http://schemas.microsoft.com/office/2017/10/relationships/person" Target="persons/person0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20" Type="http://schemas.microsoft.com/office/2017/10/relationships/person" Target="persons/person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23" Type="http://schemas.microsoft.com/office/2017/10/relationships/person" Target="persons/person4.xml"/><Relationship Id="rId19" Type="http://schemas.microsoft.com/office/2017/10/relationships/person" Target="persons/person3.xml"/><Relationship Id="rId4" Type="http://schemas.openxmlformats.org/officeDocument/2006/relationships/theme" Target="theme/theme1.xml"/><Relationship Id="rId22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232261</xdr:colOff>
      <xdr:row>198</xdr:row>
      <xdr:rowOff>65877</xdr:rowOff>
    </xdr:from>
    <xdr:to>
      <xdr:col>3</xdr:col>
      <xdr:colOff>2026400</xdr:colOff>
      <xdr:row>202</xdr:row>
      <xdr:rowOff>228601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69C14DE1-1A0C-44A6-BB7A-1078225659D5}"/>
            </a:ext>
          </a:extLst>
        </xdr:cNvPr>
        <xdr:cNvSpPr txBox="1"/>
      </xdr:nvSpPr>
      <xdr:spPr>
        <a:xfrm>
          <a:off x="1037804" y="63181248"/>
          <a:ext cx="3807996" cy="11642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</a:t>
          </a:r>
        </a:p>
        <a:p>
          <a:pPr algn="ctr"/>
          <a:r>
            <a:rPr lang="pt-BR" sz="1600" b="1"/>
            <a:t>ALEX HENRIQUE GOMES CRUZ</a:t>
          </a:r>
          <a:endParaRPr lang="pt-BR" sz="1600" b="1" baseline="0"/>
        </a:p>
        <a:p>
          <a:pPr algn="ctr"/>
          <a:r>
            <a:rPr lang="pt-BR" sz="1600" baseline="0"/>
            <a:t>Engenheiro Civil</a:t>
          </a:r>
        </a:p>
        <a:p>
          <a:pPr algn="ctr"/>
          <a:r>
            <a:rPr lang="pt-BR" sz="1600" baseline="0"/>
            <a:t>CREA/SP: 5070193729</a:t>
          </a:r>
          <a:endParaRPr lang="pt-BR" sz="1600"/>
        </a:p>
      </xdr:txBody>
    </xdr:sp>
    <xdr:clientData/>
  </xdr:twoCellAnchor>
  <xdr:twoCellAnchor>
    <xdr:from>
      <xdr:col>4</xdr:col>
      <xdr:colOff>524610</xdr:colOff>
      <xdr:row>198</xdr:row>
      <xdr:rowOff>76693</xdr:rowOff>
    </xdr:from>
    <xdr:to>
      <xdr:col>8</xdr:col>
      <xdr:colOff>328931</xdr:colOff>
      <xdr:row>201</xdr:row>
      <xdr:rowOff>250371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C8FC6163-A492-43B8-A3DA-98CE6C307253}"/>
            </a:ext>
          </a:extLst>
        </xdr:cNvPr>
        <xdr:cNvSpPr txBox="1"/>
      </xdr:nvSpPr>
      <xdr:spPr>
        <a:xfrm>
          <a:off x="8122839" y="63192064"/>
          <a:ext cx="3396606" cy="8921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600" b="1"/>
            <a:t>ALEXANDRE JOSÉ</a:t>
          </a:r>
          <a:r>
            <a:rPr lang="pt-BR" sz="1600" b="1" baseline="0"/>
            <a:t> SABINO LASILA</a:t>
          </a:r>
          <a:endParaRPr lang="pt-BR" sz="1600" b="1"/>
        </a:p>
        <a:p>
          <a:pPr algn="ctr"/>
          <a:r>
            <a:rPr lang="pt-BR" sz="1600" baseline="0"/>
            <a:t>Secretário de Obras</a:t>
          </a:r>
          <a:endParaRPr lang="pt-BR" sz="1600"/>
        </a:p>
      </xdr:txBody>
    </xdr:sp>
    <xdr:clientData/>
  </xdr:twoCellAnchor>
  <xdr:twoCellAnchor editAs="oneCell">
    <xdr:from>
      <xdr:col>3</xdr:col>
      <xdr:colOff>198783</xdr:colOff>
      <xdr:row>0</xdr:row>
      <xdr:rowOff>24849</xdr:rowOff>
    </xdr:from>
    <xdr:to>
      <xdr:col>5</xdr:col>
      <xdr:colOff>668071</xdr:colOff>
      <xdr:row>4</xdr:row>
      <xdr:rowOff>173936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BC5DD01-78FB-4E1E-8799-9D310C1D2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8183" y="24849"/>
          <a:ext cx="5932828" cy="1132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1386960</xdr:colOff>
      <xdr:row>203</xdr:row>
      <xdr:rowOff>155496</xdr:rowOff>
    </xdr:from>
    <xdr:to>
      <xdr:col>5</xdr:col>
      <xdr:colOff>320871</xdr:colOff>
      <xdr:row>206</xdr:row>
      <xdr:rowOff>138930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9BD9EC25-E6B0-4A2B-83EB-721E4F83AF2F}"/>
            </a:ext>
          </a:extLst>
        </xdr:cNvPr>
        <xdr:cNvSpPr txBox="1"/>
      </xdr:nvSpPr>
      <xdr:spPr>
        <a:xfrm>
          <a:off x="4206360" y="64555382"/>
          <a:ext cx="4409425" cy="8216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</a:t>
          </a:r>
          <a:endParaRPr lang="pt-BR">
            <a:effectLst/>
          </a:endParaRPr>
        </a:p>
        <a:p>
          <a:pPr algn="ctr"/>
          <a:r>
            <a:rPr lang="pt-BR" sz="1600" b="1"/>
            <a:t>BEATRIZ CRISTINE STABILE FARIA</a:t>
          </a:r>
          <a:endParaRPr lang="pt-BR" sz="1600" b="0" baseline="0"/>
        </a:p>
        <a:p>
          <a:pPr algn="ctr"/>
          <a:r>
            <a:rPr lang="pt-BR" sz="1600" b="0" baseline="0"/>
            <a:t>Secretária de Educação</a:t>
          </a:r>
          <a:endParaRPr lang="pt-BR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1095375</xdr:colOff>
      <xdr:row>0</xdr:row>
      <xdr:rowOff>35860</xdr:rowOff>
    </xdr:from>
    <xdr:to>
      <xdr:col>5</xdr:col>
      <xdr:colOff>316899</xdr:colOff>
      <xdr:row>2</xdr:row>
      <xdr:rowOff>752886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20E0AC5-F4D5-4358-B223-65791F2B06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9257" y="35860"/>
          <a:ext cx="6185196" cy="11133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1255059</xdr:colOff>
      <xdr:row>83</xdr:row>
      <xdr:rowOff>295835</xdr:rowOff>
    </xdr:from>
    <xdr:to>
      <xdr:col>2</xdr:col>
      <xdr:colOff>2239173</xdr:colOff>
      <xdr:row>87</xdr:row>
      <xdr:rowOff>25692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B948FB80-88AC-4E2E-A73D-B7D9258D8F23}"/>
            </a:ext>
          </a:extLst>
        </xdr:cNvPr>
        <xdr:cNvSpPr txBox="1"/>
      </xdr:nvSpPr>
      <xdr:spPr>
        <a:xfrm>
          <a:off x="1255059" y="26732753"/>
          <a:ext cx="3807996" cy="11642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</a:t>
          </a:r>
        </a:p>
        <a:p>
          <a:pPr algn="ctr"/>
          <a:r>
            <a:rPr lang="pt-BR" sz="1600" b="1"/>
            <a:t>ALEX HENRIQUE GOMES CRUZ</a:t>
          </a:r>
          <a:endParaRPr lang="pt-BR" sz="1600" b="1" baseline="0"/>
        </a:p>
        <a:p>
          <a:pPr algn="ctr"/>
          <a:r>
            <a:rPr lang="pt-BR" sz="1600" baseline="0"/>
            <a:t>Engenheiro Civil</a:t>
          </a:r>
        </a:p>
        <a:p>
          <a:pPr algn="ctr"/>
          <a:r>
            <a:rPr lang="pt-BR" sz="1600" baseline="0"/>
            <a:t>CREA/SP: 5070193729</a:t>
          </a:r>
          <a:endParaRPr lang="pt-BR" sz="1600"/>
        </a:p>
      </xdr:txBody>
    </xdr:sp>
    <xdr:clientData/>
  </xdr:twoCellAnchor>
  <xdr:twoCellAnchor>
    <xdr:from>
      <xdr:col>3</xdr:col>
      <xdr:colOff>711129</xdr:colOff>
      <xdr:row>83</xdr:row>
      <xdr:rowOff>306651</xdr:rowOff>
    </xdr:from>
    <xdr:to>
      <xdr:col>6</xdr:col>
      <xdr:colOff>297735</xdr:colOff>
      <xdr:row>86</xdr:row>
      <xdr:rowOff>87164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A10F75CE-D8B4-41D6-87F8-97C4AE42AC4B}"/>
            </a:ext>
          </a:extLst>
        </xdr:cNvPr>
        <xdr:cNvSpPr txBox="1"/>
      </xdr:nvSpPr>
      <xdr:spPr>
        <a:xfrm>
          <a:off x="8340094" y="26743569"/>
          <a:ext cx="3396606" cy="8921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600" b="1"/>
            <a:t>ALEXANDRE JOSÉ</a:t>
          </a:r>
          <a:r>
            <a:rPr lang="pt-BR" sz="1600" b="1" baseline="0"/>
            <a:t> SABINO LASILA</a:t>
          </a:r>
          <a:endParaRPr lang="pt-BR" sz="1600" b="1"/>
        </a:p>
        <a:p>
          <a:pPr algn="ctr"/>
          <a:r>
            <a:rPr lang="pt-BR" sz="1600" baseline="0"/>
            <a:t>Secretário de Obras</a:t>
          </a:r>
          <a:endParaRPr lang="pt-BR" sz="1600"/>
        </a:p>
      </xdr:txBody>
    </xdr:sp>
    <xdr:clientData/>
  </xdr:twoCellAnchor>
  <xdr:twoCellAnchor>
    <xdr:from>
      <xdr:col>2</xdr:col>
      <xdr:colOff>1653522</xdr:colOff>
      <xdr:row>86</xdr:row>
      <xdr:rowOff>217686</xdr:rowOff>
    </xdr:from>
    <xdr:to>
      <xdr:col>4</xdr:col>
      <xdr:colOff>226923</xdr:colOff>
      <xdr:row>89</xdr:row>
      <xdr:rowOff>189017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CB3319ED-1FC9-476A-A560-3E2B40C04FB9}"/>
            </a:ext>
          </a:extLst>
        </xdr:cNvPr>
        <xdr:cNvSpPr txBox="1"/>
      </xdr:nvSpPr>
      <xdr:spPr>
        <a:xfrm>
          <a:off x="4477404" y="27766227"/>
          <a:ext cx="4409425" cy="8140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</a:t>
          </a:r>
          <a:endParaRPr lang="pt-BR">
            <a:effectLst/>
          </a:endParaRPr>
        </a:p>
        <a:p>
          <a:pPr algn="ctr"/>
          <a:r>
            <a:rPr lang="pt-BR" sz="1600" b="1"/>
            <a:t>BEATRIZ CRISTINE STABILE FARIA</a:t>
          </a:r>
          <a:endParaRPr lang="pt-BR" sz="1600" b="0" baseline="0"/>
        </a:p>
        <a:p>
          <a:pPr algn="ctr"/>
          <a:r>
            <a:rPr lang="pt-BR" sz="1600" b="0" baseline="0"/>
            <a:t>Secretária de Educação</a:t>
          </a:r>
          <a:endParaRPr lang="pt-BR" sz="1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811253</xdr:colOff>
      <xdr:row>0</xdr:row>
      <xdr:rowOff>84360</xdr:rowOff>
    </xdr:from>
    <xdr:to>
      <xdr:col>7</xdr:col>
      <xdr:colOff>563096</xdr:colOff>
      <xdr:row>6</xdr:row>
      <xdr:rowOff>51230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C512674-B462-4BD0-BFAD-7829EAC33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0618" y="84360"/>
          <a:ext cx="6251254" cy="10426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465668</xdr:colOff>
      <xdr:row>35</xdr:row>
      <xdr:rowOff>203201</xdr:rowOff>
    </xdr:from>
    <xdr:to>
      <xdr:col>1</xdr:col>
      <xdr:colOff>1064797</xdr:colOff>
      <xdr:row>40</xdr:row>
      <xdr:rowOff>165145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F055C5ED-788D-4A9E-8E1D-9E69E9C4FEA9}"/>
            </a:ext>
          </a:extLst>
        </xdr:cNvPr>
        <xdr:cNvSpPr txBox="1"/>
      </xdr:nvSpPr>
      <xdr:spPr>
        <a:xfrm>
          <a:off x="465668" y="7476068"/>
          <a:ext cx="3807996" cy="11642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</a:t>
          </a:r>
        </a:p>
        <a:p>
          <a:pPr algn="ctr"/>
          <a:r>
            <a:rPr lang="pt-BR" sz="1600" b="1"/>
            <a:t>ALEX HENRIQUE GOMES CRUZ</a:t>
          </a:r>
          <a:endParaRPr lang="pt-BR" sz="1600" b="1" baseline="0"/>
        </a:p>
        <a:p>
          <a:pPr algn="ctr"/>
          <a:r>
            <a:rPr lang="pt-BR" sz="1600" baseline="0"/>
            <a:t>Engenheiro Civil</a:t>
          </a:r>
        </a:p>
        <a:p>
          <a:pPr algn="ctr"/>
          <a:r>
            <a:rPr lang="pt-BR" sz="1600" baseline="0"/>
            <a:t>CREA/SP: 5070193729</a:t>
          </a:r>
          <a:endParaRPr lang="pt-BR" sz="1600"/>
        </a:p>
      </xdr:txBody>
    </xdr:sp>
    <xdr:clientData/>
  </xdr:twoCellAnchor>
  <xdr:twoCellAnchor>
    <xdr:from>
      <xdr:col>7</xdr:col>
      <xdr:colOff>421771</xdr:colOff>
      <xdr:row>35</xdr:row>
      <xdr:rowOff>214017</xdr:rowOff>
    </xdr:from>
    <xdr:to>
      <xdr:col>10</xdr:col>
      <xdr:colOff>93043</xdr:colOff>
      <xdr:row>39</xdr:row>
      <xdr:rowOff>81687</xdr:rowOff>
    </xdr:to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573F8F7-65BF-461A-841D-1F6CEBF676E8}"/>
            </a:ext>
          </a:extLst>
        </xdr:cNvPr>
        <xdr:cNvSpPr txBox="1"/>
      </xdr:nvSpPr>
      <xdr:spPr>
        <a:xfrm>
          <a:off x="10141504" y="7486884"/>
          <a:ext cx="3396606" cy="8921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600" b="1"/>
            <a:t>ALEXANDRE JOSÉ</a:t>
          </a:r>
          <a:r>
            <a:rPr lang="pt-BR" sz="1600" b="1" baseline="0"/>
            <a:t> SABINO LASILA</a:t>
          </a:r>
          <a:endParaRPr lang="pt-BR" sz="1600" b="1"/>
        </a:p>
        <a:p>
          <a:pPr algn="ctr"/>
          <a:r>
            <a:rPr lang="pt-BR" sz="1600" baseline="0"/>
            <a:t>Secretário de Obras</a:t>
          </a:r>
          <a:endParaRPr lang="pt-BR" sz="1600"/>
        </a:p>
      </xdr:txBody>
    </xdr:sp>
    <xdr:clientData/>
  </xdr:twoCellAnchor>
  <xdr:twoCellAnchor>
    <xdr:from>
      <xdr:col>2</xdr:col>
      <xdr:colOff>637026</xdr:colOff>
      <xdr:row>42</xdr:row>
      <xdr:rowOff>2535</xdr:rowOff>
    </xdr:from>
    <xdr:to>
      <xdr:col>6</xdr:col>
      <xdr:colOff>576051</xdr:colOff>
      <xdr:row>46</xdr:row>
      <xdr:rowOff>79103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3A9B5E42-8547-41CF-919C-468C8B10D537}"/>
            </a:ext>
          </a:extLst>
        </xdr:cNvPr>
        <xdr:cNvSpPr txBox="1"/>
      </xdr:nvSpPr>
      <xdr:spPr>
        <a:xfrm>
          <a:off x="5039693" y="8850202"/>
          <a:ext cx="4409425" cy="8216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</a:t>
          </a:r>
          <a:endParaRPr lang="pt-BR">
            <a:effectLst/>
          </a:endParaRPr>
        </a:p>
        <a:p>
          <a:pPr algn="ctr"/>
          <a:r>
            <a:rPr lang="pt-BR" sz="1600" b="1"/>
            <a:t>BEATRIZ CRISTINE STABILE FARIA</a:t>
          </a:r>
          <a:endParaRPr lang="pt-BR" sz="1600" b="0" baseline="0"/>
        </a:p>
        <a:p>
          <a:pPr algn="ctr"/>
          <a:r>
            <a:rPr lang="pt-BR" sz="1600" b="0" baseline="0"/>
            <a:t>Secretária de Educação</a:t>
          </a:r>
          <a:endParaRPr lang="pt-BR" sz="16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A01EA-DB12-4759-90AE-CD2A3FB717E9}">
  <sheetPr>
    <pageSetUpPr fitToPage="1"/>
  </sheetPr>
  <dimension ref="A1:X227"/>
  <sheetViews>
    <sheetView showGridLines="0" tabSelected="1" view="pageBreakPreview" topLeftCell="A180" zoomScale="70" zoomScaleNormal="85" zoomScaleSheetLayoutView="70" workbookViewId="0">
      <selection activeCell="G185" sqref="G185:I185"/>
    </sheetView>
  </sheetViews>
  <sheetFormatPr defaultColWidth="8.7109375" defaultRowHeight="22.15" customHeight="1" x14ac:dyDescent="0.2"/>
  <cols>
    <col min="1" max="1" width="11.7109375" style="1" customWidth="1"/>
    <col min="2" max="2" width="14" style="1" customWidth="1"/>
    <col min="3" max="3" width="15.42578125" style="1" customWidth="1"/>
    <col min="4" max="4" width="69.7109375" style="1" customWidth="1"/>
    <col min="5" max="5" width="10.140625" style="1" customWidth="1"/>
    <col min="6" max="6" width="14.28515625" style="1" customWidth="1"/>
    <col min="7" max="7" width="13.140625" style="2" customWidth="1"/>
    <col min="8" max="8" width="14.7109375" style="3" customWidth="1"/>
    <col min="9" max="9" width="15.7109375" style="4" customWidth="1"/>
    <col min="10" max="10" width="2.42578125" style="5" customWidth="1"/>
    <col min="11" max="20" width="20" style="6" hidden="1" customWidth="1"/>
    <col min="21" max="21" width="8.7109375" style="3" customWidth="1"/>
    <col min="22" max="22" width="17.42578125" style="3" bestFit="1" customWidth="1"/>
    <col min="23" max="23" width="10.7109375" style="3" customWidth="1"/>
    <col min="24" max="24" width="13.7109375" style="3" customWidth="1"/>
    <col min="25" max="25" width="9.7109375" style="3" bestFit="1" customWidth="1"/>
    <col min="26" max="16384" width="8.7109375" style="3"/>
  </cols>
  <sheetData>
    <row r="1" spans="1:21" ht="11.25" customHeight="1" x14ac:dyDescent="0.2"/>
    <row r="5" spans="1:21" ht="15" customHeight="1" x14ac:dyDescent="0.2"/>
    <row r="6" spans="1:21" ht="11.25" customHeight="1" thickBot="1" x14ac:dyDescent="0.25"/>
    <row r="7" spans="1:21" ht="27.6" customHeight="1" thickBot="1" x14ac:dyDescent="0.3">
      <c r="A7" s="163" t="s">
        <v>12</v>
      </c>
      <c r="B7" s="164"/>
      <c r="C7" s="164"/>
      <c r="D7" s="164"/>
      <c r="E7" s="164"/>
      <c r="F7" s="164"/>
      <c r="G7" s="164"/>
      <c r="H7" s="164"/>
      <c r="I7" s="16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10.9" customHeight="1" x14ac:dyDescent="0.25">
      <c r="A8" s="7"/>
      <c r="B8" s="7"/>
      <c r="C8" s="7"/>
      <c r="D8" s="7"/>
      <c r="E8" s="7"/>
      <c r="F8" s="7"/>
      <c r="G8" s="7"/>
      <c r="H8" s="8"/>
      <c r="I8" s="9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22.15" customHeight="1" x14ac:dyDescent="0.25">
      <c r="A9" s="166" t="s">
        <v>471</v>
      </c>
      <c r="B9" s="166"/>
      <c r="C9" s="166"/>
      <c r="D9" s="166"/>
      <c r="E9" s="166"/>
      <c r="F9" s="167" t="s">
        <v>314</v>
      </c>
      <c r="G9" s="167"/>
      <c r="H9" s="167"/>
      <c r="I9" s="167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22.15" customHeight="1" x14ac:dyDescent="0.25">
      <c r="A10" s="168" t="s">
        <v>10</v>
      </c>
      <c r="B10" s="168"/>
      <c r="C10" s="168"/>
      <c r="D10" s="168"/>
      <c r="E10" s="168"/>
      <c r="F10" s="167"/>
      <c r="G10" s="167"/>
      <c r="H10" s="167"/>
      <c r="I10" s="167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5"/>
    </row>
    <row r="11" spans="1:21" ht="22.15" customHeight="1" x14ac:dyDescent="0.25">
      <c r="A11" s="169" t="s">
        <v>472</v>
      </c>
      <c r="B11" s="168"/>
      <c r="C11" s="168"/>
      <c r="D11" s="168"/>
      <c r="E11" s="168"/>
      <c r="F11" s="167"/>
      <c r="G11" s="167"/>
      <c r="H11" s="167"/>
      <c r="I11" s="167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5"/>
    </row>
    <row r="12" spans="1:21" ht="22.15" customHeight="1" x14ac:dyDescent="0.25">
      <c r="A12" s="170" t="s">
        <v>470</v>
      </c>
      <c r="B12" s="170"/>
      <c r="C12" s="170"/>
      <c r="D12" s="170"/>
      <c r="E12" s="170"/>
      <c r="F12" s="167"/>
      <c r="G12" s="167"/>
      <c r="H12" s="167"/>
      <c r="I12" s="167"/>
      <c r="K12" s="172" t="s">
        <v>11</v>
      </c>
      <c r="L12" s="172"/>
      <c r="M12" s="172" t="s">
        <v>11</v>
      </c>
      <c r="N12" s="172"/>
      <c r="O12" s="172" t="s">
        <v>11</v>
      </c>
      <c r="P12" s="172"/>
      <c r="Q12" s="172" t="s">
        <v>11</v>
      </c>
      <c r="R12" s="172"/>
      <c r="S12" s="172" t="s">
        <v>11</v>
      </c>
      <c r="T12" s="172"/>
      <c r="U12" s="5"/>
    </row>
    <row r="13" spans="1:21" ht="11.45" customHeight="1" x14ac:dyDescent="0.2">
      <c r="A13" s="11"/>
      <c r="B13" s="11"/>
      <c r="C13" s="12"/>
      <c r="D13" s="13"/>
      <c r="E13" s="14"/>
      <c r="F13" s="15"/>
      <c r="G13" s="16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5"/>
    </row>
    <row r="14" spans="1:21" ht="25.15" customHeight="1" x14ac:dyDescent="0.25">
      <c r="A14" s="161" t="s">
        <v>12</v>
      </c>
      <c r="B14" s="162"/>
      <c r="C14" s="162"/>
      <c r="D14" s="162"/>
      <c r="E14" s="162"/>
      <c r="F14" s="162"/>
      <c r="G14" s="162"/>
      <c r="H14" s="162"/>
      <c r="I14" s="162"/>
      <c r="K14" s="17" t="s">
        <v>13</v>
      </c>
      <c r="L14" s="18">
        <v>1</v>
      </c>
      <c r="M14" s="17" t="s">
        <v>13</v>
      </c>
      <c r="N14" s="18">
        <v>2</v>
      </c>
      <c r="O14" s="17" t="s">
        <v>13</v>
      </c>
      <c r="P14" s="18">
        <v>3</v>
      </c>
      <c r="Q14" s="17" t="s">
        <v>13</v>
      </c>
      <c r="R14" s="18">
        <v>4</v>
      </c>
      <c r="S14" s="17" t="s">
        <v>13</v>
      </c>
      <c r="T14" s="18">
        <v>5</v>
      </c>
      <c r="U14" s="5"/>
    </row>
    <row r="15" spans="1:21" ht="25.15" customHeight="1" x14ac:dyDescent="0.25">
      <c r="A15" s="19" t="s">
        <v>14</v>
      </c>
      <c r="B15" s="19" t="s">
        <v>15</v>
      </c>
      <c r="C15" s="19" t="s">
        <v>16</v>
      </c>
      <c r="D15" s="19" t="s">
        <v>17</v>
      </c>
      <c r="E15" s="20" t="s">
        <v>5</v>
      </c>
      <c r="F15" s="20" t="s">
        <v>6</v>
      </c>
      <c r="G15" s="21" t="s">
        <v>18</v>
      </c>
      <c r="H15" s="20" t="s">
        <v>19</v>
      </c>
      <c r="I15" s="21" t="s">
        <v>20</v>
      </c>
      <c r="K15" s="22" t="s">
        <v>21</v>
      </c>
      <c r="L15" s="23">
        <v>44691</v>
      </c>
      <c r="M15" s="22" t="s">
        <v>21</v>
      </c>
      <c r="N15" s="24"/>
      <c r="O15" s="22" t="s">
        <v>21</v>
      </c>
      <c r="P15" s="24"/>
      <c r="Q15" s="22" t="s">
        <v>21</v>
      </c>
      <c r="R15" s="24"/>
      <c r="S15" s="22" t="s">
        <v>21</v>
      </c>
      <c r="T15" s="24"/>
      <c r="U15" s="5"/>
    </row>
    <row r="16" spans="1:21" ht="25.15" customHeight="1" x14ac:dyDescent="0.25">
      <c r="A16" s="173" t="s">
        <v>22</v>
      </c>
      <c r="B16" s="174"/>
      <c r="C16" s="174"/>
      <c r="D16" s="174"/>
      <c r="E16" s="174"/>
      <c r="F16" s="174"/>
      <c r="G16" s="174"/>
      <c r="H16" s="174"/>
      <c r="I16" s="175"/>
      <c r="K16" s="176" t="s">
        <v>23</v>
      </c>
      <c r="L16" s="176"/>
      <c r="M16" s="177" t="s">
        <v>23</v>
      </c>
      <c r="N16" s="171"/>
      <c r="O16" s="171" t="s">
        <v>23</v>
      </c>
      <c r="P16" s="171"/>
      <c r="Q16" s="171" t="s">
        <v>23</v>
      </c>
      <c r="R16" s="171"/>
      <c r="S16" s="171" t="s">
        <v>23</v>
      </c>
      <c r="T16" s="171"/>
    </row>
    <row r="17" spans="1:20" ht="25.15" customHeight="1" x14ac:dyDescent="0.25">
      <c r="A17" s="25" t="s">
        <v>24</v>
      </c>
      <c r="B17" s="25" t="s">
        <v>25</v>
      </c>
      <c r="C17" s="25" t="s">
        <v>26</v>
      </c>
      <c r="D17" s="26" t="s">
        <v>27</v>
      </c>
      <c r="E17" s="25" t="s">
        <v>28</v>
      </c>
      <c r="F17" s="25" t="s">
        <v>29</v>
      </c>
      <c r="G17" s="27" t="s">
        <v>18</v>
      </c>
      <c r="H17" s="28" t="s">
        <v>30</v>
      </c>
      <c r="I17" s="29" t="s">
        <v>30</v>
      </c>
      <c r="K17" s="30" t="s">
        <v>31</v>
      </c>
      <c r="L17" s="30" t="s">
        <v>32</v>
      </c>
      <c r="M17" s="31" t="s">
        <v>31</v>
      </c>
      <c r="N17" s="30" t="s">
        <v>32</v>
      </c>
      <c r="O17" s="30" t="s">
        <v>31</v>
      </c>
      <c r="P17" s="30" t="s">
        <v>32</v>
      </c>
      <c r="Q17" s="30" t="s">
        <v>31</v>
      </c>
      <c r="R17" s="30" t="s">
        <v>32</v>
      </c>
      <c r="S17" s="30" t="s">
        <v>31</v>
      </c>
      <c r="T17" s="30" t="s">
        <v>32</v>
      </c>
    </row>
    <row r="18" spans="1:20" ht="25.15" customHeight="1" x14ac:dyDescent="0.25">
      <c r="A18" s="32" t="s">
        <v>1</v>
      </c>
      <c r="B18" s="32" t="s">
        <v>33</v>
      </c>
      <c r="C18" s="32" t="s">
        <v>148</v>
      </c>
      <c r="D18" s="33" t="s">
        <v>34</v>
      </c>
      <c r="E18" s="32" t="s">
        <v>154</v>
      </c>
      <c r="F18" s="131">
        <f>ROUND(2*1.25,2)</f>
        <v>2.5</v>
      </c>
      <c r="G18" s="34">
        <v>189.04</v>
      </c>
      <c r="H18" s="34">
        <f>ROUND(F18*G18,2)</f>
        <v>472.6</v>
      </c>
      <c r="I18" s="34">
        <f>ROUND(H18*1.2735,2)</f>
        <v>601.86</v>
      </c>
      <c r="K18" s="35">
        <f>(L18/100)*$I18</f>
        <v>0</v>
      </c>
      <c r="L18" s="36"/>
      <c r="M18" s="35">
        <f>(N18/100)*$I18</f>
        <v>0</v>
      </c>
      <c r="N18" s="36"/>
      <c r="O18" s="35">
        <f>(P18/100)*$I18</f>
        <v>0</v>
      </c>
      <c r="P18" s="36"/>
      <c r="Q18" s="35">
        <f>(R18/100)*$I18</f>
        <v>0</v>
      </c>
      <c r="R18" s="36"/>
      <c r="S18" s="35">
        <f>(T18/100)*$I18</f>
        <v>0</v>
      </c>
      <c r="T18" s="36"/>
    </row>
    <row r="19" spans="1:20" ht="25.15" customHeight="1" x14ac:dyDescent="0.25">
      <c r="A19" s="32" t="s">
        <v>35</v>
      </c>
      <c r="B19" s="32" t="s">
        <v>317</v>
      </c>
      <c r="C19" s="32" t="s">
        <v>148</v>
      </c>
      <c r="D19" s="33" t="s">
        <v>318</v>
      </c>
      <c r="E19" s="32" t="s">
        <v>175</v>
      </c>
      <c r="F19" s="131">
        <v>1</v>
      </c>
      <c r="G19" s="34">
        <v>2079.88</v>
      </c>
      <c r="H19" s="34">
        <f t="shared" ref="H19:H20" si="0">ROUND(F19*G19,2)</f>
        <v>2079.88</v>
      </c>
      <c r="I19" s="34">
        <f t="shared" ref="I19:I20" si="1">ROUND(H19*1.2735,2)</f>
        <v>2648.73</v>
      </c>
      <c r="K19" s="35"/>
      <c r="L19" s="36"/>
      <c r="M19" s="35"/>
      <c r="N19" s="36"/>
      <c r="O19" s="35"/>
      <c r="P19" s="36"/>
      <c r="Q19" s="35"/>
      <c r="R19" s="36"/>
      <c r="S19" s="35"/>
      <c r="T19" s="36"/>
    </row>
    <row r="20" spans="1:20" ht="25.15" customHeight="1" x14ac:dyDescent="0.25">
      <c r="A20" s="32" t="s">
        <v>174</v>
      </c>
      <c r="B20" s="32" t="s">
        <v>150</v>
      </c>
      <c r="C20" s="32" t="s">
        <v>148</v>
      </c>
      <c r="D20" s="33" t="s">
        <v>151</v>
      </c>
      <c r="E20" s="32" t="s">
        <v>154</v>
      </c>
      <c r="F20" s="131">
        <f>20*10</f>
        <v>200</v>
      </c>
      <c r="G20" s="34">
        <v>15.65</v>
      </c>
      <c r="H20" s="34">
        <f t="shared" si="0"/>
        <v>3130</v>
      </c>
      <c r="I20" s="34">
        <f t="shared" si="1"/>
        <v>3986.06</v>
      </c>
      <c r="K20" s="35"/>
      <c r="L20" s="36"/>
      <c r="M20" s="35"/>
      <c r="N20" s="36"/>
      <c r="O20" s="35"/>
      <c r="P20" s="36"/>
      <c r="Q20" s="35"/>
      <c r="R20" s="36"/>
      <c r="S20" s="35"/>
      <c r="T20" s="36"/>
    </row>
    <row r="21" spans="1:20" ht="25.15" customHeight="1" x14ac:dyDescent="0.25">
      <c r="A21" s="32" t="s">
        <v>338</v>
      </c>
      <c r="B21" s="32" t="s">
        <v>339</v>
      </c>
      <c r="C21" s="32" t="s">
        <v>148</v>
      </c>
      <c r="D21" s="33" t="s">
        <v>340</v>
      </c>
      <c r="E21" s="32" t="s">
        <v>154</v>
      </c>
      <c r="F21" s="131">
        <f>(22*12)-(20*10)+(14*3)</f>
        <v>106</v>
      </c>
      <c r="G21" s="34">
        <v>1.58</v>
      </c>
      <c r="H21" s="34">
        <f t="shared" ref="H21" si="2">ROUND(F21*G21,2)</f>
        <v>167.48</v>
      </c>
      <c r="I21" s="34">
        <f t="shared" ref="I21" si="3">ROUND(H21*1.2735,2)</f>
        <v>213.29</v>
      </c>
      <c r="K21" s="35"/>
      <c r="L21" s="36"/>
      <c r="M21" s="35"/>
      <c r="N21" s="36"/>
      <c r="O21" s="35"/>
      <c r="P21" s="36"/>
      <c r="Q21" s="35"/>
      <c r="R21" s="36"/>
      <c r="S21" s="35"/>
      <c r="T21" s="36"/>
    </row>
    <row r="22" spans="1:20" ht="25.15" customHeight="1" x14ac:dyDescent="0.25">
      <c r="A22" s="178" t="s">
        <v>37</v>
      </c>
      <c r="B22" s="179"/>
      <c r="C22" s="179"/>
      <c r="D22" s="179"/>
      <c r="E22" s="179"/>
      <c r="F22" s="179"/>
      <c r="G22" s="180"/>
      <c r="H22" s="38">
        <f>SUM(H18:H21)</f>
        <v>5849.9599999999991</v>
      </c>
      <c r="I22" s="38">
        <f>SUM(I18:I21)</f>
        <v>7449.94</v>
      </c>
      <c r="K22" s="35" t="e">
        <f>(L22/100)*#REF!</f>
        <v>#REF!</v>
      </c>
      <c r="L22" s="37"/>
      <c r="M22" s="35" t="e">
        <f>(N22/100)*#REF!</f>
        <v>#REF!</v>
      </c>
      <c r="N22" s="37"/>
      <c r="O22" s="35" t="e">
        <f>(P22/100)*#REF!</f>
        <v>#REF!</v>
      </c>
      <c r="P22" s="37"/>
      <c r="Q22" s="35" t="e">
        <f>(R22/100)*#REF!</f>
        <v>#REF!</v>
      </c>
      <c r="R22" s="37"/>
      <c r="S22" s="35" t="e">
        <f>(T22/100)*#REF!</f>
        <v>#REF!</v>
      </c>
      <c r="T22" s="37"/>
    </row>
    <row r="23" spans="1:20" s="42" customFormat="1" ht="12" customHeight="1" x14ac:dyDescent="0.25">
      <c r="A23" s="5"/>
      <c r="B23" s="5"/>
      <c r="C23" s="5"/>
      <c r="D23" s="5"/>
      <c r="E23" s="5"/>
      <c r="F23" s="5"/>
      <c r="G23" s="5"/>
      <c r="H23" s="5"/>
      <c r="I23" s="43"/>
      <c r="J23" s="39"/>
      <c r="K23" s="40" t="e">
        <f>SUM(#REF!)</f>
        <v>#REF!</v>
      </c>
      <c r="L23" s="41" t="e">
        <f>(SUM(#REF!)/$I$22)</f>
        <v>#REF!</v>
      </c>
      <c r="M23" s="40" t="e">
        <f>SUM(#REF!)</f>
        <v>#REF!</v>
      </c>
      <c r="N23" s="41" t="e">
        <f>(SUM(#REF!)/$I$22)</f>
        <v>#REF!</v>
      </c>
      <c r="O23" s="40" t="e">
        <f>SUM(#REF!)</f>
        <v>#REF!</v>
      </c>
      <c r="P23" s="41" t="e">
        <f>(SUM(#REF!)/$I$22)</f>
        <v>#REF!</v>
      </c>
      <c r="Q23" s="40" t="e">
        <f>SUM(#REF!)</f>
        <v>#REF!</v>
      </c>
      <c r="R23" s="41" t="e">
        <f>(SUM(#REF!)/$I$22)</f>
        <v>#REF!</v>
      </c>
      <c r="S23" s="40" t="e">
        <f>SUM(#REF!)</f>
        <v>#REF!</v>
      </c>
      <c r="T23" s="41" t="e">
        <f>(SUM(#REF!)/$I$22)</f>
        <v>#REF!</v>
      </c>
    </row>
    <row r="24" spans="1:20" s="5" customFormat="1" ht="25.15" customHeight="1" x14ac:dyDescent="0.25">
      <c r="A24" s="173" t="s">
        <v>319</v>
      </c>
      <c r="B24" s="174"/>
      <c r="C24" s="174"/>
      <c r="D24" s="174"/>
      <c r="E24" s="174"/>
      <c r="F24" s="174"/>
      <c r="G24" s="174"/>
      <c r="H24" s="174"/>
      <c r="I24" s="175"/>
      <c r="K24" s="35"/>
      <c r="L24" s="36"/>
      <c r="M24" s="44"/>
      <c r="N24" s="45"/>
      <c r="O24" s="35"/>
      <c r="P24" s="36"/>
      <c r="Q24" s="35"/>
      <c r="R24" s="36"/>
      <c r="S24" s="35"/>
      <c r="T24" s="46"/>
    </row>
    <row r="25" spans="1:20" ht="25.15" customHeight="1" x14ac:dyDescent="0.25">
      <c r="A25" s="25" t="s">
        <v>3</v>
      </c>
      <c r="B25" s="25" t="s">
        <v>25</v>
      </c>
      <c r="C25" s="25" t="s">
        <v>26</v>
      </c>
      <c r="D25" s="26" t="s">
        <v>38</v>
      </c>
      <c r="E25" s="25" t="s">
        <v>28</v>
      </c>
      <c r="F25" s="25" t="s">
        <v>29</v>
      </c>
      <c r="G25" s="27" t="s">
        <v>18</v>
      </c>
      <c r="H25" s="28" t="s">
        <v>30</v>
      </c>
      <c r="I25" s="29" t="s">
        <v>30</v>
      </c>
      <c r="K25" s="176" t="s">
        <v>23</v>
      </c>
      <c r="L25" s="176"/>
      <c r="M25" s="176" t="s">
        <v>23</v>
      </c>
      <c r="N25" s="176"/>
      <c r="O25" s="176" t="s">
        <v>23</v>
      </c>
      <c r="P25" s="176"/>
      <c r="Q25" s="176" t="s">
        <v>23</v>
      </c>
      <c r="R25" s="176"/>
      <c r="S25" s="181" t="s">
        <v>23</v>
      </c>
      <c r="T25" s="182"/>
    </row>
    <row r="26" spans="1:20" ht="25.15" customHeight="1" x14ac:dyDescent="0.25">
      <c r="A26" s="32" t="s">
        <v>39</v>
      </c>
      <c r="B26" s="32">
        <v>1</v>
      </c>
      <c r="C26" s="32" t="s">
        <v>40</v>
      </c>
      <c r="D26" s="33" t="s">
        <v>41</v>
      </c>
      <c r="E26" s="32" t="s">
        <v>99</v>
      </c>
      <c r="F26" s="131">
        <f>31*6</f>
        <v>186</v>
      </c>
      <c r="G26" s="34">
        <f>Composição!G24</f>
        <v>74.66</v>
      </c>
      <c r="H26" s="34">
        <f>ROUND(F26*G26,2)</f>
        <v>13886.76</v>
      </c>
      <c r="I26" s="34">
        <f>ROUND(H26*1.2735,2)</f>
        <v>17684.79</v>
      </c>
      <c r="K26" s="47" t="s">
        <v>31</v>
      </c>
      <c r="L26" s="47" t="s">
        <v>32</v>
      </c>
      <c r="M26" s="47" t="s">
        <v>31</v>
      </c>
      <c r="N26" s="47" t="s">
        <v>32</v>
      </c>
      <c r="O26" s="47" t="s">
        <v>31</v>
      </c>
      <c r="P26" s="47" t="s">
        <v>32</v>
      </c>
      <c r="Q26" s="47" t="s">
        <v>31</v>
      </c>
      <c r="R26" s="47" t="s">
        <v>32</v>
      </c>
      <c r="S26" s="47" t="s">
        <v>31</v>
      </c>
      <c r="T26" s="47" t="s">
        <v>32</v>
      </c>
    </row>
    <row r="27" spans="1:20" ht="25.15" customHeight="1" x14ac:dyDescent="0.25">
      <c r="A27" s="25" t="s">
        <v>134</v>
      </c>
      <c r="B27" s="25" t="s">
        <v>25</v>
      </c>
      <c r="C27" s="25" t="s">
        <v>26</v>
      </c>
      <c r="D27" s="26" t="s">
        <v>152</v>
      </c>
      <c r="E27" s="25" t="s">
        <v>28</v>
      </c>
      <c r="F27" s="159" t="s">
        <v>29</v>
      </c>
      <c r="G27" s="27" t="s">
        <v>18</v>
      </c>
      <c r="H27" s="28" t="s">
        <v>30</v>
      </c>
      <c r="I27" s="29" t="s">
        <v>30</v>
      </c>
      <c r="K27" s="48">
        <f>(L27/100)*$I26</f>
        <v>0</v>
      </c>
      <c r="L27" s="49"/>
      <c r="M27" s="48">
        <f>(N27/100)*$I26</f>
        <v>0</v>
      </c>
      <c r="N27" s="49"/>
      <c r="O27" s="48">
        <f>(P27/100)*$I26</f>
        <v>0</v>
      </c>
      <c r="P27" s="49"/>
      <c r="Q27" s="48">
        <f>(R27/100)*$I26</f>
        <v>0</v>
      </c>
      <c r="R27" s="49"/>
      <c r="S27" s="48">
        <f>(T27/100)*$I26</f>
        <v>0</v>
      </c>
      <c r="T27" s="49"/>
    </row>
    <row r="28" spans="1:20" ht="30.2" customHeight="1" x14ac:dyDescent="0.25">
      <c r="A28" s="32" t="s">
        <v>42</v>
      </c>
      <c r="B28" s="32">
        <v>96525</v>
      </c>
      <c r="C28" s="50" t="s">
        <v>2</v>
      </c>
      <c r="D28" s="33" t="s">
        <v>153</v>
      </c>
      <c r="E28" s="32" t="s">
        <v>155</v>
      </c>
      <c r="F28" s="131">
        <v>16.760000000000002</v>
      </c>
      <c r="G28" s="34">
        <v>49.47</v>
      </c>
      <c r="H28" s="51">
        <f t="shared" ref="H28:H35" si="4">ROUND(F28*G28,2)</f>
        <v>829.12</v>
      </c>
      <c r="I28" s="34">
        <f t="shared" ref="I28:I35" si="5">ROUND(H28*1.2735,2)</f>
        <v>1055.8800000000001</v>
      </c>
      <c r="K28" s="47" t="s">
        <v>31</v>
      </c>
      <c r="L28" s="47" t="s">
        <v>32</v>
      </c>
      <c r="M28" s="47" t="s">
        <v>31</v>
      </c>
      <c r="N28" s="47" t="s">
        <v>32</v>
      </c>
      <c r="O28" s="47" t="s">
        <v>31</v>
      </c>
      <c r="P28" s="47" t="s">
        <v>32</v>
      </c>
      <c r="Q28" s="47" t="s">
        <v>31</v>
      </c>
      <c r="R28" s="47" t="s">
        <v>32</v>
      </c>
      <c r="S28" s="47" t="s">
        <v>31</v>
      </c>
      <c r="T28" s="47" t="s">
        <v>32</v>
      </c>
    </row>
    <row r="29" spans="1:20" ht="30.2" customHeight="1" x14ac:dyDescent="0.25">
      <c r="A29" s="32" t="s">
        <v>248</v>
      </c>
      <c r="B29" s="32">
        <v>101619</v>
      </c>
      <c r="C29" s="50" t="s">
        <v>2</v>
      </c>
      <c r="D29" s="33" t="s">
        <v>43</v>
      </c>
      <c r="E29" s="32" t="s">
        <v>155</v>
      </c>
      <c r="F29" s="131">
        <v>0.41</v>
      </c>
      <c r="G29" s="34">
        <v>260.91000000000003</v>
      </c>
      <c r="H29" s="51">
        <f t="shared" si="4"/>
        <v>106.97</v>
      </c>
      <c r="I29" s="34">
        <f t="shared" si="5"/>
        <v>136.22999999999999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30.2" customHeight="1" x14ac:dyDescent="0.25">
      <c r="A30" s="32" t="s">
        <v>249</v>
      </c>
      <c r="B30" s="32">
        <v>96542</v>
      </c>
      <c r="C30" s="50" t="s">
        <v>2</v>
      </c>
      <c r="D30" s="33" t="s">
        <v>156</v>
      </c>
      <c r="E30" s="32" t="s">
        <v>154</v>
      </c>
      <c r="F30" s="131">
        <v>40.9</v>
      </c>
      <c r="G30" s="34">
        <v>96.16</v>
      </c>
      <c r="H30" s="51">
        <f t="shared" si="4"/>
        <v>3932.94</v>
      </c>
      <c r="I30" s="34">
        <f t="shared" si="5"/>
        <v>5008.6000000000004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25.15" customHeight="1" x14ac:dyDescent="0.25">
      <c r="A31" s="32" t="s">
        <v>44</v>
      </c>
      <c r="B31" s="32">
        <v>96546</v>
      </c>
      <c r="C31" s="50" t="s">
        <v>2</v>
      </c>
      <c r="D31" s="33" t="s">
        <v>120</v>
      </c>
      <c r="E31" s="32" t="s">
        <v>104</v>
      </c>
      <c r="F31" s="131">
        <v>168.22000000000003</v>
      </c>
      <c r="G31" s="34">
        <v>12.68</v>
      </c>
      <c r="H31" s="51">
        <f t="shared" si="4"/>
        <v>2133.0300000000002</v>
      </c>
      <c r="I31" s="34">
        <f t="shared" si="5"/>
        <v>2716.41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25.15" customHeight="1" x14ac:dyDescent="0.25">
      <c r="A32" s="32" t="s">
        <v>250</v>
      </c>
      <c r="B32" s="52">
        <v>96543</v>
      </c>
      <c r="C32" s="50" t="s">
        <v>2</v>
      </c>
      <c r="D32" s="33" t="s">
        <v>121</v>
      </c>
      <c r="E32" s="32" t="s">
        <v>104</v>
      </c>
      <c r="F32" s="131">
        <v>65.72</v>
      </c>
      <c r="G32" s="34">
        <v>17.93</v>
      </c>
      <c r="H32" s="51">
        <f t="shared" si="4"/>
        <v>1178.3599999999999</v>
      </c>
      <c r="I32" s="34">
        <f t="shared" si="5"/>
        <v>1500.64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30.2" customHeight="1" x14ac:dyDescent="0.25">
      <c r="A33" s="32" t="s">
        <v>45</v>
      </c>
      <c r="B33" s="52">
        <v>96557</v>
      </c>
      <c r="C33" s="50" t="s">
        <v>2</v>
      </c>
      <c r="D33" s="33" t="s">
        <v>122</v>
      </c>
      <c r="E33" s="32" t="s">
        <v>155</v>
      </c>
      <c r="F33" s="131">
        <v>4.09</v>
      </c>
      <c r="G33" s="34">
        <v>592.30999999999995</v>
      </c>
      <c r="H33" s="51">
        <f t="shared" si="4"/>
        <v>2422.5500000000002</v>
      </c>
      <c r="I33" s="34">
        <f t="shared" si="5"/>
        <v>3085.12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25.15" customHeight="1" x14ac:dyDescent="0.25">
      <c r="A34" s="32" t="s">
        <v>46</v>
      </c>
      <c r="B34" s="52" t="s">
        <v>47</v>
      </c>
      <c r="C34" s="50" t="s">
        <v>148</v>
      </c>
      <c r="D34" s="53" t="s">
        <v>48</v>
      </c>
      <c r="E34" s="32" t="s">
        <v>154</v>
      </c>
      <c r="F34" s="131">
        <v>40.9</v>
      </c>
      <c r="G34" s="34">
        <v>61.84</v>
      </c>
      <c r="H34" s="51">
        <f t="shared" si="4"/>
        <v>2529.2600000000002</v>
      </c>
      <c r="I34" s="34">
        <f t="shared" si="5"/>
        <v>3221.01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ht="25.15" customHeight="1" x14ac:dyDescent="0.25">
      <c r="A35" s="32" t="s">
        <v>126</v>
      </c>
      <c r="B35" s="52" t="s">
        <v>157</v>
      </c>
      <c r="C35" s="50" t="s">
        <v>148</v>
      </c>
      <c r="D35" s="53" t="s">
        <v>158</v>
      </c>
      <c r="E35" s="32" t="s">
        <v>155</v>
      </c>
      <c r="F35" s="131">
        <v>12.26</v>
      </c>
      <c r="G35" s="34">
        <v>16.46</v>
      </c>
      <c r="H35" s="51">
        <f t="shared" si="4"/>
        <v>201.8</v>
      </c>
      <c r="I35" s="34">
        <f t="shared" si="5"/>
        <v>256.99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25.15" customHeight="1" x14ac:dyDescent="0.25">
      <c r="A36" s="25" t="s">
        <v>320</v>
      </c>
      <c r="B36" s="25" t="s">
        <v>25</v>
      </c>
      <c r="C36" s="25" t="s">
        <v>26</v>
      </c>
      <c r="D36" s="26" t="s">
        <v>181</v>
      </c>
      <c r="E36" s="25" t="s">
        <v>28</v>
      </c>
      <c r="F36" s="25" t="s">
        <v>29</v>
      </c>
      <c r="G36" s="27" t="s">
        <v>18</v>
      </c>
      <c r="H36" s="28" t="s">
        <v>30</v>
      </c>
      <c r="I36" s="29" t="s">
        <v>30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30.2" customHeight="1" x14ac:dyDescent="0.25">
      <c r="A37" s="32" t="s">
        <v>321</v>
      </c>
      <c r="B37" s="32" t="s">
        <v>182</v>
      </c>
      <c r="C37" s="50" t="s">
        <v>148</v>
      </c>
      <c r="D37" s="33" t="s">
        <v>183</v>
      </c>
      <c r="E37" s="32" t="s">
        <v>154</v>
      </c>
      <c r="F37" s="131">
        <f>ROUND(181.42+3.4+3.4+((22*12)-(20*10))+(14*3),2)</f>
        <v>294.22000000000003</v>
      </c>
      <c r="G37" s="34">
        <v>22.93</v>
      </c>
      <c r="H37" s="51">
        <f t="shared" ref="H37:H44" si="6">ROUND(F37*G37,2)</f>
        <v>6746.46</v>
      </c>
      <c r="I37" s="34">
        <f t="shared" ref="I37:I44" si="7">ROUND(H37*1.2735,2)</f>
        <v>8591.6200000000008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ht="25.15" customHeight="1" x14ac:dyDescent="0.25">
      <c r="A38" s="32" t="s">
        <v>322</v>
      </c>
      <c r="B38" s="32" t="s">
        <v>184</v>
      </c>
      <c r="C38" s="50" t="s">
        <v>148</v>
      </c>
      <c r="D38" s="33" t="s">
        <v>185</v>
      </c>
      <c r="E38" s="32" t="s">
        <v>155</v>
      </c>
      <c r="F38" s="131">
        <f>ROUND((181.42+3.4+3.4+((22*12)-(20*10))+(14*3))*0.05,2)</f>
        <v>14.71</v>
      </c>
      <c r="G38" s="34">
        <v>189.71</v>
      </c>
      <c r="H38" s="51">
        <f t="shared" si="6"/>
        <v>2790.63</v>
      </c>
      <c r="I38" s="34">
        <f t="shared" si="7"/>
        <v>3553.87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25.15" customHeight="1" x14ac:dyDescent="0.25">
      <c r="A39" s="32" t="s">
        <v>323</v>
      </c>
      <c r="B39" s="32">
        <v>97090</v>
      </c>
      <c r="C39" s="50" t="s">
        <v>2</v>
      </c>
      <c r="D39" s="33" t="s">
        <v>287</v>
      </c>
      <c r="E39" s="32" t="s">
        <v>104</v>
      </c>
      <c r="F39" s="131">
        <f>ROUND((181.42+3.4+3.4+((22*12)-(20*10))+(14*3))*2.2,2)</f>
        <v>647.28</v>
      </c>
      <c r="G39" s="34">
        <v>12.99</v>
      </c>
      <c r="H39" s="51">
        <f t="shared" si="6"/>
        <v>8408.17</v>
      </c>
      <c r="I39" s="34">
        <f t="shared" si="7"/>
        <v>10707.8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25.15" customHeight="1" x14ac:dyDescent="0.25">
      <c r="A40" s="32" t="s">
        <v>324</v>
      </c>
      <c r="B40" s="32" t="s">
        <v>244</v>
      </c>
      <c r="C40" s="50" t="s">
        <v>148</v>
      </c>
      <c r="D40" s="33" t="s">
        <v>245</v>
      </c>
      <c r="E40" s="32" t="s">
        <v>155</v>
      </c>
      <c r="F40" s="131">
        <f>ROUND(((181.42+((22*12)-(20*10))+(14*3))*0.1)+(3.4*2*0.055),2)-0.01</f>
        <v>29.11</v>
      </c>
      <c r="G40" s="34">
        <v>474.27</v>
      </c>
      <c r="H40" s="51">
        <f t="shared" si="6"/>
        <v>13806</v>
      </c>
      <c r="I40" s="34">
        <f t="shared" si="7"/>
        <v>17581.939999999999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25.15" customHeight="1" x14ac:dyDescent="0.25">
      <c r="A41" s="32" t="s">
        <v>325</v>
      </c>
      <c r="B41" s="52" t="s">
        <v>186</v>
      </c>
      <c r="C41" s="50" t="s">
        <v>148</v>
      </c>
      <c r="D41" s="33" t="s">
        <v>187</v>
      </c>
      <c r="E41" s="32" t="s">
        <v>155</v>
      </c>
      <c r="F41" s="131">
        <f>ROUND(((181.42+((22*12)-(20*10))+(14*3))*0.1)+(3.4*2*0.055),2)-0.01</f>
        <v>29.11</v>
      </c>
      <c r="G41" s="34">
        <v>74.400000000000006</v>
      </c>
      <c r="H41" s="51">
        <f t="shared" si="6"/>
        <v>2165.7800000000002</v>
      </c>
      <c r="I41" s="34">
        <f t="shared" si="7"/>
        <v>2758.12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30.2" customHeight="1" x14ac:dyDescent="0.25">
      <c r="A42" s="32" t="s">
        <v>326</v>
      </c>
      <c r="B42" s="52">
        <v>98562</v>
      </c>
      <c r="C42" s="50" t="s">
        <v>2</v>
      </c>
      <c r="D42" s="33" t="s">
        <v>243</v>
      </c>
      <c r="E42" s="32" t="s">
        <v>154</v>
      </c>
      <c r="F42" s="131">
        <v>6.8</v>
      </c>
      <c r="G42" s="34">
        <v>48.75</v>
      </c>
      <c r="H42" s="51">
        <f t="shared" si="6"/>
        <v>331.5</v>
      </c>
      <c r="I42" s="34">
        <f t="shared" si="7"/>
        <v>422.17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ht="45.2" customHeight="1" x14ac:dyDescent="0.25">
      <c r="A43" s="32" t="s">
        <v>327</v>
      </c>
      <c r="B43" s="52">
        <v>87755</v>
      </c>
      <c r="C43" s="50" t="s">
        <v>2</v>
      </c>
      <c r="D43" s="53" t="s">
        <v>190</v>
      </c>
      <c r="E43" s="32" t="s">
        <v>154</v>
      </c>
      <c r="F43" s="131">
        <v>6.8</v>
      </c>
      <c r="G43" s="34">
        <v>46.57</v>
      </c>
      <c r="H43" s="51">
        <f t="shared" si="6"/>
        <v>316.68</v>
      </c>
      <c r="I43" s="34">
        <f t="shared" si="7"/>
        <v>403.29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ht="25.15" customHeight="1" x14ac:dyDescent="0.25">
      <c r="A44" s="32" t="s">
        <v>328</v>
      </c>
      <c r="B44" s="52" t="s">
        <v>188</v>
      </c>
      <c r="C44" s="50" t="s">
        <v>148</v>
      </c>
      <c r="D44" s="53" t="s">
        <v>189</v>
      </c>
      <c r="E44" s="32" t="s">
        <v>154</v>
      </c>
      <c r="F44" s="131">
        <f>181.42+((22*12)-(20*10))+(14*3)</f>
        <v>287.41999999999996</v>
      </c>
      <c r="G44" s="34">
        <v>15.98</v>
      </c>
      <c r="H44" s="51">
        <f t="shared" si="6"/>
        <v>4592.97</v>
      </c>
      <c r="I44" s="34">
        <f t="shared" si="7"/>
        <v>5849.15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25.15" customHeight="1" x14ac:dyDescent="0.25">
      <c r="A45" s="178" t="s">
        <v>49</v>
      </c>
      <c r="B45" s="179"/>
      <c r="C45" s="179"/>
      <c r="D45" s="179"/>
      <c r="E45" s="179"/>
      <c r="F45" s="179"/>
      <c r="G45" s="180"/>
      <c r="H45" s="54">
        <f>SUM(H26:H44)</f>
        <v>66378.98</v>
      </c>
      <c r="I45" s="38">
        <f>SUM(I26:I44)</f>
        <v>84533.62999999999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s="42" customFormat="1" ht="12" customHeight="1" x14ac:dyDescent="0.25">
      <c r="A46" s="5"/>
      <c r="B46" s="5"/>
      <c r="C46" s="5"/>
      <c r="D46" s="5"/>
      <c r="E46" s="5"/>
      <c r="F46" s="5"/>
      <c r="G46" s="5"/>
      <c r="H46" s="5"/>
      <c r="I46" s="43"/>
      <c r="J46" s="39"/>
      <c r="K46" s="40" t="e">
        <f>SUM(#REF!)</f>
        <v>#REF!</v>
      </c>
      <c r="L46" s="41" t="e">
        <f>(SUM(#REF!)/$I$90)</f>
        <v>#REF!</v>
      </c>
      <c r="M46" s="55" t="e">
        <f>SUM(#REF!)</f>
        <v>#REF!</v>
      </c>
      <c r="N46" s="56" t="e">
        <f>(SUM(#REF!)/$I$90)</f>
        <v>#REF!</v>
      </c>
      <c r="O46" s="55" t="e">
        <f>SUM(#REF!)</f>
        <v>#REF!</v>
      </c>
      <c r="P46" s="56" t="e">
        <f>(SUM(#REF!)/$I$90)</f>
        <v>#REF!</v>
      </c>
      <c r="Q46" s="55" t="e">
        <f>SUM(#REF!)</f>
        <v>#REF!</v>
      </c>
      <c r="R46" s="56" t="e">
        <f>(SUM(#REF!)/$I$90)</f>
        <v>#REF!</v>
      </c>
      <c r="S46" s="55" t="e">
        <f>SUM(#REF!)</f>
        <v>#REF!</v>
      </c>
      <c r="T46" s="56" t="e">
        <f>(SUM(#REF!)/$I$90)</f>
        <v>#REF!</v>
      </c>
    </row>
    <row r="47" spans="1:20" s="5" customFormat="1" ht="25.15" customHeight="1" x14ac:dyDescent="0.25">
      <c r="A47" s="173" t="s">
        <v>50</v>
      </c>
      <c r="B47" s="174"/>
      <c r="C47" s="174"/>
      <c r="D47" s="174"/>
      <c r="E47" s="174"/>
      <c r="F47" s="174"/>
      <c r="G47" s="174"/>
      <c r="H47" s="174"/>
      <c r="I47" s="175"/>
      <c r="K47" s="35"/>
      <c r="L47" s="37"/>
      <c r="M47" s="57"/>
      <c r="N47" s="58"/>
      <c r="O47" s="59"/>
      <c r="P47" s="60"/>
      <c r="Q47" s="59"/>
      <c r="R47" s="60"/>
      <c r="S47" s="59"/>
      <c r="T47" s="61"/>
    </row>
    <row r="48" spans="1:20" ht="25.15" customHeight="1" x14ac:dyDescent="0.25">
      <c r="A48" s="25" t="s">
        <v>51</v>
      </c>
      <c r="B48" s="25" t="s">
        <v>25</v>
      </c>
      <c r="C48" s="25" t="s">
        <v>26</v>
      </c>
      <c r="D48" s="26" t="s">
        <v>8</v>
      </c>
      <c r="E48" s="25" t="s">
        <v>28</v>
      </c>
      <c r="F48" s="25" t="s">
        <v>29</v>
      </c>
      <c r="G48" s="27" t="s">
        <v>18</v>
      </c>
      <c r="H48" s="28" t="s">
        <v>30</v>
      </c>
      <c r="I48" s="29" t="s">
        <v>30</v>
      </c>
      <c r="K48" s="176" t="s">
        <v>23</v>
      </c>
      <c r="L48" s="176"/>
      <c r="M48" s="176" t="s">
        <v>23</v>
      </c>
      <c r="N48" s="176"/>
      <c r="O48" s="176" t="s">
        <v>23</v>
      </c>
      <c r="P48" s="176"/>
      <c r="Q48" s="176" t="s">
        <v>23</v>
      </c>
      <c r="R48" s="176"/>
      <c r="S48" s="181" t="s">
        <v>23</v>
      </c>
      <c r="T48" s="182"/>
    </row>
    <row r="49" spans="1:20" ht="25.15" customHeight="1" x14ac:dyDescent="0.25">
      <c r="A49" s="32" t="s">
        <v>52</v>
      </c>
      <c r="B49" s="32" t="s">
        <v>159</v>
      </c>
      <c r="C49" s="50" t="s">
        <v>148</v>
      </c>
      <c r="D49" s="33" t="s">
        <v>160</v>
      </c>
      <c r="E49" s="32" t="s">
        <v>154</v>
      </c>
      <c r="F49" s="131">
        <v>122.9</v>
      </c>
      <c r="G49" s="34">
        <v>178.51</v>
      </c>
      <c r="H49" s="51">
        <f t="shared" ref="H49:H53" si="8">ROUND(F49*G49,2)</f>
        <v>21938.880000000001</v>
      </c>
      <c r="I49" s="34">
        <f t="shared" ref="I49:I53" si="9">ROUND(H49*1.2735,2)</f>
        <v>27939.16</v>
      </c>
      <c r="K49" s="47" t="s">
        <v>31</v>
      </c>
      <c r="L49" s="47" t="s">
        <v>32</v>
      </c>
      <c r="M49" s="47" t="s">
        <v>31</v>
      </c>
      <c r="N49" s="47" t="s">
        <v>32</v>
      </c>
      <c r="O49" s="47" t="s">
        <v>31</v>
      </c>
      <c r="P49" s="47" t="s">
        <v>32</v>
      </c>
      <c r="Q49" s="47" t="s">
        <v>31</v>
      </c>
      <c r="R49" s="47" t="s">
        <v>32</v>
      </c>
      <c r="S49" s="47" t="s">
        <v>31</v>
      </c>
      <c r="T49" s="47" t="s">
        <v>32</v>
      </c>
    </row>
    <row r="50" spans="1:20" ht="30.2" customHeight="1" x14ac:dyDescent="0.25">
      <c r="A50" s="32" t="s">
        <v>53</v>
      </c>
      <c r="B50" s="32">
        <v>92762</v>
      </c>
      <c r="C50" s="50" t="s">
        <v>2</v>
      </c>
      <c r="D50" s="33" t="s">
        <v>130</v>
      </c>
      <c r="E50" s="32" t="s">
        <v>104</v>
      </c>
      <c r="F50" s="131">
        <v>683.46</v>
      </c>
      <c r="G50" s="34">
        <v>10.62</v>
      </c>
      <c r="H50" s="51">
        <f t="shared" si="8"/>
        <v>7258.35</v>
      </c>
      <c r="I50" s="34">
        <f t="shared" si="9"/>
        <v>9243.51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30.2" customHeight="1" x14ac:dyDescent="0.25">
      <c r="A51" s="32" t="s">
        <v>453</v>
      </c>
      <c r="B51" s="32">
        <v>92759</v>
      </c>
      <c r="C51" s="50" t="s">
        <v>2</v>
      </c>
      <c r="D51" s="33" t="s">
        <v>131</v>
      </c>
      <c r="E51" s="32" t="s">
        <v>104</v>
      </c>
      <c r="F51" s="131">
        <v>110.38999999999999</v>
      </c>
      <c r="G51" s="34">
        <v>13.96</v>
      </c>
      <c r="H51" s="51">
        <f t="shared" si="8"/>
        <v>1541.04</v>
      </c>
      <c r="I51" s="34">
        <f t="shared" si="9"/>
        <v>1962.51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30.2" customHeight="1" x14ac:dyDescent="0.25">
      <c r="A52" s="32" t="s">
        <v>54</v>
      </c>
      <c r="B52" s="32">
        <v>103672</v>
      </c>
      <c r="C52" s="50" t="s">
        <v>2</v>
      </c>
      <c r="D52" s="33" t="s">
        <v>123</v>
      </c>
      <c r="E52" s="32" t="s">
        <v>155</v>
      </c>
      <c r="F52" s="131">
        <v>5.55</v>
      </c>
      <c r="G52" s="34">
        <v>575.64</v>
      </c>
      <c r="H52" s="51">
        <f t="shared" si="8"/>
        <v>3194.8</v>
      </c>
      <c r="I52" s="34">
        <f t="shared" si="9"/>
        <v>4068.58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25.15" customHeight="1" x14ac:dyDescent="0.25">
      <c r="A53" s="32" t="s">
        <v>55</v>
      </c>
      <c r="B53" s="32" t="s">
        <v>176</v>
      </c>
      <c r="C53" s="50" t="s">
        <v>148</v>
      </c>
      <c r="D53" s="33" t="s">
        <v>177</v>
      </c>
      <c r="E53" s="32" t="s">
        <v>154</v>
      </c>
      <c r="F53" s="131">
        <v>11.78</v>
      </c>
      <c r="G53" s="34">
        <v>53.31</v>
      </c>
      <c r="H53" s="51">
        <f t="shared" si="8"/>
        <v>627.99</v>
      </c>
      <c r="I53" s="34">
        <f t="shared" si="9"/>
        <v>799.75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25.15" customHeight="1" x14ac:dyDescent="0.25">
      <c r="A54" s="25" t="s">
        <v>56</v>
      </c>
      <c r="B54" s="25" t="s">
        <v>25</v>
      </c>
      <c r="C54" s="25" t="s">
        <v>26</v>
      </c>
      <c r="D54" s="26" t="s">
        <v>161</v>
      </c>
      <c r="E54" s="25" t="s">
        <v>28</v>
      </c>
      <c r="F54" s="159" t="s">
        <v>29</v>
      </c>
      <c r="G54" s="27" t="s">
        <v>18</v>
      </c>
      <c r="H54" s="28" t="s">
        <v>30</v>
      </c>
      <c r="I54" s="29" t="s">
        <v>30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25.15" customHeight="1" x14ac:dyDescent="0.25">
      <c r="A55" s="32" t="s">
        <v>57</v>
      </c>
      <c r="B55" s="32" t="s">
        <v>159</v>
      </c>
      <c r="C55" s="50" t="s">
        <v>148</v>
      </c>
      <c r="D55" s="33" t="s">
        <v>160</v>
      </c>
      <c r="E55" s="32" t="s">
        <v>154</v>
      </c>
      <c r="F55" s="131">
        <v>55.89</v>
      </c>
      <c r="G55" s="34">
        <v>178.51</v>
      </c>
      <c r="H55" s="51">
        <f t="shared" ref="H55:H59" si="10">ROUND(F55*G55,2)</f>
        <v>9976.92</v>
      </c>
      <c r="I55" s="34">
        <f t="shared" ref="I55:I59" si="11">ROUND(H55*1.2735,2)</f>
        <v>12705.61</v>
      </c>
      <c r="K55" s="47" t="s">
        <v>31</v>
      </c>
      <c r="L55" s="47" t="s">
        <v>32</v>
      </c>
      <c r="M55" s="47" t="s">
        <v>31</v>
      </c>
      <c r="N55" s="47" t="s">
        <v>32</v>
      </c>
      <c r="O55" s="47" t="s">
        <v>31</v>
      </c>
      <c r="P55" s="47" t="s">
        <v>32</v>
      </c>
      <c r="Q55" s="47" t="s">
        <v>31</v>
      </c>
      <c r="R55" s="47" t="s">
        <v>32</v>
      </c>
      <c r="S55" s="47" t="s">
        <v>31</v>
      </c>
      <c r="T55" s="47" t="s">
        <v>32</v>
      </c>
    </row>
    <row r="56" spans="1:20" ht="30.2" customHeight="1" x14ac:dyDescent="0.25">
      <c r="A56" s="32" t="s">
        <v>127</v>
      </c>
      <c r="B56" s="32">
        <v>92762</v>
      </c>
      <c r="C56" s="50" t="s">
        <v>2</v>
      </c>
      <c r="D56" s="33" t="s">
        <v>124</v>
      </c>
      <c r="E56" s="32" t="s">
        <v>104</v>
      </c>
      <c r="F56" s="131">
        <v>172.41</v>
      </c>
      <c r="G56" s="34">
        <v>10.62</v>
      </c>
      <c r="H56" s="51">
        <f t="shared" si="10"/>
        <v>1830.99</v>
      </c>
      <c r="I56" s="34">
        <f t="shared" si="11"/>
        <v>2331.77</v>
      </c>
      <c r="K56" s="127"/>
      <c r="L56" s="127"/>
      <c r="M56" s="127"/>
      <c r="N56" s="127"/>
      <c r="O56" s="127"/>
      <c r="P56" s="127"/>
      <c r="Q56" s="127"/>
      <c r="R56" s="127"/>
      <c r="S56" s="127"/>
      <c r="T56" s="127"/>
    </row>
    <row r="57" spans="1:20" ht="30.2" customHeight="1" x14ac:dyDescent="0.25">
      <c r="A57" s="32" t="s">
        <v>128</v>
      </c>
      <c r="B57" s="32">
        <v>92759</v>
      </c>
      <c r="C57" s="50" t="s">
        <v>2</v>
      </c>
      <c r="D57" s="33" t="s">
        <v>125</v>
      </c>
      <c r="E57" s="32" t="s">
        <v>104</v>
      </c>
      <c r="F57" s="131">
        <v>66.02</v>
      </c>
      <c r="G57" s="34">
        <v>13.96</v>
      </c>
      <c r="H57" s="51">
        <f t="shared" si="10"/>
        <v>921.64</v>
      </c>
      <c r="I57" s="34">
        <f t="shared" si="11"/>
        <v>1173.71</v>
      </c>
      <c r="K57" s="127"/>
      <c r="L57" s="127"/>
      <c r="M57" s="127"/>
      <c r="N57" s="127"/>
      <c r="O57" s="127"/>
      <c r="P57" s="127"/>
      <c r="Q57" s="127"/>
      <c r="R57" s="127"/>
      <c r="S57" s="127"/>
      <c r="T57" s="127"/>
    </row>
    <row r="58" spans="1:20" ht="30.2" customHeight="1" x14ac:dyDescent="0.25">
      <c r="A58" s="32" t="s">
        <v>129</v>
      </c>
      <c r="B58" s="32">
        <v>103682</v>
      </c>
      <c r="C58" s="50" t="s">
        <v>2</v>
      </c>
      <c r="D58" s="33" t="s">
        <v>132</v>
      </c>
      <c r="E58" s="32" t="s">
        <v>155</v>
      </c>
      <c r="F58" s="131">
        <v>3.98</v>
      </c>
      <c r="G58" s="34">
        <v>914.22</v>
      </c>
      <c r="H58" s="51">
        <f t="shared" si="10"/>
        <v>3638.6</v>
      </c>
      <c r="I58" s="34">
        <f t="shared" si="11"/>
        <v>4633.76</v>
      </c>
      <c r="K58" s="127"/>
      <c r="L58" s="127"/>
      <c r="M58" s="127"/>
      <c r="N58" s="127"/>
      <c r="O58" s="127"/>
      <c r="P58" s="127"/>
      <c r="Q58" s="127"/>
      <c r="R58" s="127"/>
      <c r="S58" s="127"/>
      <c r="T58" s="127"/>
    </row>
    <row r="59" spans="1:20" ht="25.15" customHeight="1" x14ac:dyDescent="0.25">
      <c r="A59" s="32" t="s">
        <v>251</v>
      </c>
      <c r="B59" s="32">
        <v>2</v>
      </c>
      <c r="C59" s="32" t="s">
        <v>40</v>
      </c>
      <c r="D59" s="33" t="s">
        <v>162</v>
      </c>
      <c r="E59" s="32" t="s">
        <v>99</v>
      </c>
      <c r="F59" s="131">
        <v>100.46</v>
      </c>
      <c r="G59" s="34">
        <f>Composição!G36</f>
        <v>52.89</v>
      </c>
      <c r="H59" s="51">
        <f t="shared" si="10"/>
        <v>5313.33</v>
      </c>
      <c r="I59" s="34">
        <f t="shared" si="11"/>
        <v>6766.53</v>
      </c>
      <c r="K59" s="127"/>
      <c r="L59" s="127"/>
      <c r="M59" s="127"/>
      <c r="N59" s="127"/>
      <c r="O59" s="127"/>
      <c r="P59" s="127"/>
      <c r="Q59" s="127"/>
      <c r="R59" s="127"/>
      <c r="S59" s="127"/>
      <c r="T59" s="127"/>
    </row>
    <row r="60" spans="1:20" ht="25.15" customHeight="1" x14ac:dyDescent="0.25">
      <c r="A60" s="25" t="s">
        <v>58</v>
      </c>
      <c r="B60" s="25" t="s">
        <v>25</v>
      </c>
      <c r="C60" s="25" t="s">
        <v>26</v>
      </c>
      <c r="D60" s="26" t="s">
        <v>9</v>
      </c>
      <c r="E60" s="25" t="s">
        <v>28</v>
      </c>
      <c r="F60" s="159" t="s">
        <v>29</v>
      </c>
      <c r="G60" s="27" t="s">
        <v>18</v>
      </c>
      <c r="H60" s="28" t="s">
        <v>30</v>
      </c>
      <c r="I60" s="29" t="s">
        <v>30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30.2" customHeight="1" x14ac:dyDescent="0.25">
      <c r="A61" s="32" t="s">
        <v>59</v>
      </c>
      <c r="B61" s="32">
        <v>103340</v>
      </c>
      <c r="C61" s="50" t="s">
        <v>2</v>
      </c>
      <c r="D61" s="33" t="s">
        <v>135</v>
      </c>
      <c r="E61" s="32" t="s">
        <v>154</v>
      </c>
      <c r="F61" s="131">
        <v>250.86</v>
      </c>
      <c r="G61" s="34">
        <v>138.47</v>
      </c>
      <c r="H61" s="51">
        <f t="shared" ref="H61:H62" si="12">ROUND(F61*G61,2)</f>
        <v>34736.58</v>
      </c>
      <c r="I61" s="34">
        <f t="shared" ref="I61:I62" si="13">ROUND(H61*1.2735,2)</f>
        <v>44237.03</v>
      </c>
      <c r="K61" s="47" t="s">
        <v>31</v>
      </c>
      <c r="L61" s="47" t="s">
        <v>32</v>
      </c>
      <c r="M61" s="47" t="s">
        <v>31</v>
      </c>
      <c r="N61" s="47" t="s">
        <v>32</v>
      </c>
      <c r="O61" s="47" t="s">
        <v>31</v>
      </c>
      <c r="P61" s="47" t="s">
        <v>32</v>
      </c>
      <c r="Q61" s="47" t="s">
        <v>31</v>
      </c>
      <c r="R61" s="47" t="s">
        <v>32</v>
      </c>
      <c r="S61" s="47" t="s">
        <v>31</v>
      </c>
      <c r="T61" s="47" t="s">
        <v>32</v>
      </c>
    </row>
    <row r="62" spans="1:20" ht="25.15" customHeight="1" x14ac:dyDescent="0.25">
      <c r="A62" s="32" t="s">
        <v>252</v>
      </c>
      <c r="B62" s="32" t="s">
        <v>176</v>
      </c>
      <c r="C62" s="50" t="s">
        <v>148</v>
      </c>
      <c r="D62" s="33" t="s">
        <v>177</v>
      </c>
      <c r="E62" s="32" t="s">
        <v>154</v>
      </c>
      <c r="F62" s="131">
        <v>54.12</v>
      </c>
      <c r="G62" s="34">
        <v>53.31</v>
      </c>
      <c r="H62" s="51">
        <f t="shared" si="12"/>
        <v>2885.14</v>
      </c>
      <c r="I62" s="34">
        <f t="shared" si="13"/>
        <v>3674.23</v>
      </c>
      <c r="K62" s="127"/>
      <c r="L62" s="127"/>
      <c r="M62" s="127"/>
      <c r="N62" s="127"/>
      <c r="O62" s="127"/>
      <c r="P62" s="127"/>
      <c r="Q62" s="127"/>
      <c r="R62" s="127"/>
      <c r="S62" s="127"/>
      <c r="T62" s="127"/>
    </row>
    <row r="63" spans="1:20" ht="25.15" customHeight="1" x14ac:dyDescent="0.25">
      <c r="A63" s="25" t="s">
        <v>168</v>
      </c>
      <c r="B63" s="25" t="s">
        <v>25</v>
      </c>
      <c r="C63" s="25" t="s">
        <v>26</v>
      </c>
      <c r="D63" s="26" t="s">
        <v>344</v>
      </c>
      <c r="E63" s="25" t="s">
        <v>28</v>
      </c>
      <c r="F63" s="159" t="s">
        <v>29</v>
      </c>
      <c r="G63" s="27" t="s">
        <v>18</v>
      </c>
      <c r="H63" s="28" t="s">
        <v>30</v>
      </c>
      <c r="I63" s="29" t="s">
        <v>30</v>
      </c>
      <c r="K63" s="127"/>
      <c r="L63" s="127"/>
      <c r="M63" s="127"/>
      <c r="N63" s="127"/>
      <c r="O63" s="127"/>
      <c r="P63" s="127"/>
      <c r="Q63" s="127"/>
      <c r="R63" s="127"/>
      <c r="S63" s="127"/>
      <c r="T63" s="127"/>
    </row>
    <row r="64" spans="1:20" ht="30.2" customHeight="1" x14ac:dyDescent="0.25">
      <c r="A64" s="32" t="s">
        <v>253</v>
      </c>
      <c r="B64" s="32">
        <v>101964</v>
      </c>
      <c r="C64" s="50" t="s">
        <v>2</v>
      </c>
      <c r="D64" s="33" t="s">
        <v>169</v>
      </c>
      <c r="E64" s="32" t="s">
        <v>154</v>
      </c>
      <c r="F64" s="131">
        <f>ROUND(2*2*1.7,2)</f>
        <v>6.8</v>
      </c>
      <c r="G64" s="34">
        <v>171.4</v>
      </c>
      <c r="H64" s="51">
        <f>ROUND(F64*G64,2)</f>
        <v>1165.52</v>
      </c>
      <c r="I64" s="34">
        <f>ROUND(H64*1.2735,2)</f>
        <v>1484.29</v>
      </c>
      <c r="K64" s="127"/>
      <c r="L64" s="127"/>
      <c r="M64" s="127"/>
      <c r="N64" s="127"/>
      <c r="O64" s="127"/>
      <c r="P64" s="127"/>
      <c r="Q64" s="127"/>
      <c r="R64" s="127"/>
      <c r="S64" s="127"/>
      <c r="T64" s="127"/>
    </row>
    <row r="65" spans="1:20" ht="30.2" customHeight="1" x14ac:dyDescent="0.25">
      <c r="A65" s="32" t="s">
        <v>254</v>
      </c>
      <c r="B65" s="32" t="s">
        <v>298</v>
      </c>
      <c r="C65" s="50" t="s">
        <v>148</v>
      </c>
      <c r="D65" s="33" t="s">
        <v>299</v>
      </c>
      <c r="E65" s="32" t="s">
        <v>155</v>
      </c>
      <c r="F65" s="131">
        <f>ROUND(2*(4*(2*0.16*0.06)),2)</f>
        <v>0.15</v>
      </c>
      <c r="G65" s="34">
        <v>5278.82</v>
      </c>
      <c r="H65" s="51">
        <f>ROUND(F65*G65,2)</f>
        <v>791.82</v>
      </c>
      <c r="I65" s="34">
        <f>ROUND(H65*1.2735,2)</f>
        <v>1008.38</v>
      </c>
      <c r="K65" s="127"/>
      <c r="L65" s="127"/>
      <c r="M65" s="127"/>
      <c r="N65" s="127"/>
      <c r="O65" s="127"/>
      <c r="P65" s="127"/>
      <c r="Q65" s="127"/>
      <c r="R65" s="127"/>
      <c r="S65" s="127"/>
      <c r="T65" s="127"/>
    </row>
    <row r="66" spans="1:20" ht="25.15" customHeight="1" x14ac:dyDescent="0.25">
      <c r="A66" s="25" t="s">
        <v>170</v>
      </c>
      <c r="B66" s="25" t="s">
        <v>25</v>
      </c>
      <c r="C66" s="25" t="s">
        <v>26</v>
      </c>
      <c r="D66" s="26" t="s">
        <v>330</v>
      </c>
      <c r="E66" s="25" t="s">
        <v>28</v>
      </c>
      <c r="F66" s="159" t="s">
        <v>29</v>
      </c>
      <c r="G66" s="27" t="s">
        <v>18</v>
      </c>
      <c r="H66" s="28" t="s">
        <v>30</v>
      </c>
      <c r="I66" s="29" t="s">
        <v>30</v>
      </c>
      <c r="K66" s="127"/>
      <c r="L66" s="127"/>
      <c r="M66" s="127"/>
      <c r="N66" s="127"/>
      <c r="O66" s="127"/>
      <c r="P66" s="127"/>
      <c r="Q66" s="127"/>
      <c r="R66" s="127"/>
      <c r="S66" s="127"/>
      <c r="T66" s="127"/>
    </row>
    <row r="67" spans="1:20" ht="25.15" customHeight="1" x14ac:dyDescent="0.25">
      <c r="A67" s="32" t="s">
        <v>255</v>
      </c>
      <c r="B67" s="32" t="s">
        <v>171</v>
      </c>
      <c r="C67" s="50" t="s">
        <v>148</v>
      </c>
      <c r="D67" s="33" t="s">
        <v>172</v>
      </c>
      <c r="E67" s="32" t="s">
        <v>104</v>
      </c>
      <c r="F67" s="131">
        <f>ROUND((20+0.6+0.6)*(10+0.6+0.3)*8,2)</f>
        <v>1848.64</v>
      </c>
      <c r="G67" s="34">
        <v>23.82</v>
      </c>
      <c r="H67" s="51">
        <f t="shared" ref="H67:H70" si="14">ROUND(F67*G67,2)</f>
        <v>44034.6</v>
      </c>
      <c r="I67" s="34">
        <f t="shared" ref="I67:I70" si="15">ROUND(H67*1.2735,2)</f>
        <v>56078.06</v>
      </c>
      <c r="K67" s="127"/>
      <c r="L67" s="127"/>
      <c r="M67" s="127"/>
      <c r="N67" s="127"/>
      <c r="O67" s="127"/>
      <c r="P67" s="127"/>
      <c r="Q67" s="127"/>
      <c r="R67" s="127"/>
      <c r="S67" s="127"/>
      <c r="T67" s="127"/>
    </row>
    <row r="68" spans="1:20" ht="30.2" customHeight="1" x14ac:dyDescent="0.25">
      <c r="A68" s="32" t="s">
        <v>297</v>
      </c>
      <c r="B68" s="32" t="s">
        <v>292</v>
      </c>
      <c r="C68" s="50" t="s">
        <v>148</v>
      </c>
      <c r="D68" s="33" t="s">
        <v>291</v>
      </c>
      <c r="E68" s="32" t="s">
        <v>154</v>
      </c>
      <c r="F68" s="131">
        <f>ROUND((20+0.6+0.6)*(10+0.6+0.3),2)</f>
        <v>231.08</v>
      </c>
      <c r="G68" s="34">
        <v>172.49</v>
      </c>
      <c r="H68" s="51">
        <f t="shared" si="14"/>
        <v>39858.99</v>
      </c>
      <c r="I68" s="34">
        <f t="shared" si="15"/>
        <v>50760.42</v>
      </c>
      <c r="K68" s="127"/>
      <c r="L68" s="127"/>
      <c r="M68" s="127"/>
      <c r="N68" s="127"/>
      <c r="O68" s="127"/>
      <c r="P68" s="127"/>
      <c r="Q68" s="127"/>
      <c r="R68" s="127"/>
      <c r="S68" s="127"/>
      <c r="T68" s="127"/>
    </row>
    <row r="69" spans="1:20" ht="25.15" customHeight="1" x14ac:dyDescent="0.25">
      <c r="A69" s="32" t="s">
        <v>329</v>
      </c>
      <c r="B69" s="32" t="s">
        <v>341</v>
      </c>
      <c r="C69" s="50" t="s">
        <v>148</v>
      </c>
      <c r="D69" s="33" t="s">
        <v>343</v>
      </c>
      <c r="E69" s="32" t="s">
        <v>154</v>
      </c>
      <c r="F69" s="131">
        <f>ROUND((20-0.19-0.19)*(10-0.19-0.19),2)</f>
        <v>188.74</v>
      </c>
      <c r="G69" s="34">
        <v>130.54</v>
      </c>
      <c r="H69" s="51">
        <f t="shared" si="14"/>
        <v>24638.12</v>
      </c>
      <c r="I69" s="34">
        <f t="shared" si="15"/>
        <v>31376.65</v>
      </c>
      <c r="K69" s="127"/>
      <c r="L69" s="127"/>
      <c r="M69" s="127"/>
      <c r="N69" s="127"/>
      <c r="O69" s="127"/>
      <c r="P69" s="127"/>
      <c r="Q69" s="127"/>
      <c r="R69" s="127"/>
      <c r="S69" s="127"/>
      <c r="T69" s="127"/>
    </row>
    <row r="70" spans="1:20" ht="25.15" customHeight="1" x14ac:dyDescent="0.25">
      <c r="A70" s="32" t="s">
        <v>331</v>
      </c>
      <c r="B70" s="32">
        <v>3</v>
      </c>
      <c r="C70" s="32" t="s">
        <v>40</v>
      </c>
      <c r="D70" s="33" t="s">
        <v>193</v>
      </c>
      <c r="E70" s="32" t="s">
        <v>99</v>
      </c>
      <c r="F70" s="131">
        <f>(20+0.6+0.6)*2</f>
        <v>42.400000000000006</v>
      </c>
      <c r="G70" s="34">
        <f>Composição!G44</f>
        <v>31.4</v>
      </c>
      <c r="H70" s="51">
        <f t="shared" si="14"/>
        <v>1331.36</v>
      </c>
      <c r="I70" s="34">
        <f t="shared" si="15"/>
        <v>1695.49</v>
      </c>
      <c r="K70" s="127"/>
      <c r="L70" s="127"/>
      <c r="M70" s="127"/>
      <c r="N70" s="127"/>
      <c r="O70" s="127"/>
      <c r="P70" s="127"/>
      <c r="Q70" s="127"/>
      <c r="R70" s="127"/>
      <c r="S70" s="127"/>
      <c r="T70" s="127"/>
    </row>
    <row r="71" spans="1:20" ht="25.15" customHeight="1" x14ac:dyDescent="0.25">
      <c r="A71" s="32" t="s">
        <v>342</v>
      </c>
      <c r="B71" s="32">
        <v>4</v>
      </c>
      <c r="C71" s="32" t="s">
        <v>40</v>
      </c>
      <c r="D71" s="33" t="s">
        <v>333</v>
      </c>
      <c r="E71" s="32" t="s">
        <v>99</v>
      </c>
      <c r="F71" s="131">
        <f>20+20+10+10</f>
        <v>60</v>
      </c>
      <c r="G71" s="34">
        <f>Composição!G51</f>
        <v>80.36</v>
      </c>
      <c r="H71" s="51">
        <f t="shared" ref="H71" si="16">ROUND(F71*G71,2)</f>
        <v>4821.6000000000004</v>
      </c>
      <c r="I71" s="34">
        <f t="shared" ref="I71" si="17">ROUND(H71*1.2735,2)</f>
        <v>6140.31</v>
      </c>
      <c r="K71" s="127"/>
      <c r="L71" s="127"/>
      <c r="M71" s="127"/>
      <c r="N71" s="127"/>
      <c r="O71" s="127"/>
      <c r="P71" s="127"/>
      <c r="Q71" s="127"/>
      <c r="R71" s="127"/>
      <c r="S71" s="127"/>
      <c r="T71" s="127"/>
    </row>
    <row r="72" spans="1:20" ht="25.15" customHeight="1" x14ac:dyDescent="0.25">
      <c r="A72" s="178" t="s">
        <v>60</v>
      </c>
      <c r="B72" s="179"/>
      <c r="C72" s="179"/>
      <c r="D72" s="179"/>
      <c r="E72" s="179"/>
      <c r="F72" s="179"/>
      <c r="G72" s="180"/>
      <c r="H72" s="54">
        <f>SUM(H49:H71)</f>
        <v>210506.27</v>
      </c>
      <c r="I72" s="38">
        <f>SUM(I49:I71)</f>
        <v>268079.75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s="42" customFormat="1" ht="12" customHeight="1" x14ac:dyDescent="0.25">
      <c r="A73" s="5"/>
      <c r="B73" s="5"/>
      <c r="C73" s="5"/>
      <c r="D73" s="5"/>
      <c r="E73" s="5"/>
      <c r="F73" s="5"/>
      <c r="G73" s="5"/>
      <c r="H73" s="5"/>
      <c r="I73" s="43"/>
      <c r="J73" s="39"/>
      <c r="K73" s="40" t="e">
        <f>SUM(#REF!)</f>
        <v>#REF!</v>
      </c>
      <c r="L73" s="41" t="e">
        <f>(SUM(#REF!)/$I$90)</f>
        <v>#REF!</v>
      </c>
      <c r="M73" s="55" t="e">
        <f>SUM(#REF!)</f>
        <v>#REF!</v>
      </c>
      <c r="N73" s="56" t="e">
        <f>(SUM(#REF!)/$I$90)</f>
        <v>#REF!</v>
      </c>
      <c r="O73" s="55" t="e">
        <f>SUM(#REF!)</f>
        <v>#REF!</v>
      </c>
      <c r="P73" s="56" t="e">
        <f>(SUM(#REF!)/$I$90)</f>
        <v>#REF!</v>
      </c>
      <c r="Q73" s="55" t="e">
        <f>SUM(#REF!)</f>
        <v>#REF!</v>
      </c>
      <c r="R73" s="56" t="e">
        <f>(SUM(#REF!)/$I$90)</f>
        <v>#REF!</v>
      </c>
      <c r="S73" s="55" t="e">
        <f>SUM(#REF!)</f>
        <v>#REF!</v>
      </c>
      <c r="T73" s="56" t="e">
        <f>(SUM(#REF!)/$I$90)</f>
        <v>#REF!</v>
      </c>
    </row>
    <row r="74" spans="1:20" s="5" customFormat="1" ht="25.15" customHeight="1" x14ac:dyDescent="0.25">
      <c r="A74" s="173" t="s">
        <v>61</v>
      </c>
      <c r="B74" s="174"/>
      <c r="C74" s="174"/>
      <c r="D74" s="174"/>
      <c r="E74" s="174"/>
      <c r="F74" s="174"/>
      <c r="G74" s="174"/>
      <c r="H74" s="174"/>
      <c r="I74" s="175"/>
      <c r="K74" s="35"/>
      <c r="L74" s="37"/>
      <c r="M74" s="57"/>
      <c r="N74" s="58"/>
      <c r="O74" s="59"/>
      <c r="P74" s="37"/>
      <c r="Q74" s="59"/>
      <c r="R74" s="37"/>
      <c r="S74" s="59"/>
      <c r="T74" s="62"/>
    </row>
    <row r="75" spans="1:20" ht="25.15" customHeight="1" x14ac:dyDescent="0.25">
      <c r="A75" s="25" t="s">
        <v>62</v>
      </c>
      <c r="B75" s="25" t="s">
        <v>25</v>
      </c>
      <c r="C75" s="25" t="s">
        <v>26</v>
      </c>
      <c r="D75" s="26" t="s">
        <v>178</v>
      </c>
      <c r="E75" s="25" t="s">
        <v>28</v>
      </c>
      <c r="F75" s="25" t="s">
        <v>29</v>
      </c>
      <c r="G75" s="27" t="s">
        <v>18</v>
      </c>
      <c r="H75" s="28" t="s">
        <v>30</v>
      </c>
      <c r="I75" s="29" t="s">
        <v>30</v>
      </c>
      <c r="K75" s="176" t="s">
        <v>23</v>
      </c>
      <c r="L75" s="176"/>
      <c r="M75" s="176" t="s">
        <v>23</v>
      </c>
      <c r="N75" s="176"/>
      <c r="O75" s="176" t="s">
        <v>23</v>
      </c>
      <c r="P75" s="176"/>
      <c r="Q75" s="176" t="s">
        <v>23</v>
      </c>
      <c r="R75" s="176"/>
      <c r="S75" s="181" t="s">
        <v>23</v>
      </c>
      <c r="T75" s="182"/>
    </row>
    <row r="76" spans="1:20" ht="25.15" customHeight="1" x14ac:dyDescent="0.25">
      <c r="A76" s="32" t="s">
        <v>63</v>
      </c>
      <c r="B76" s="32" t="s">
        <v>64</v>
      </c>
      <c r="C76" s="32" t="s">
        <v>148</v>
      </c>
      <c r="D76" s="33" t="s">
        <v>65</v>
      </c>
      <c r="E76" s="32" t="s">
        <v>154</v>
      </c>
      <c r="F76" s="131">
        <f>58.38+ROUND(2*(2*(1.7+2))*3.02,2)-ROUND(2*((2.1*1)+(1.7*0.6)),2)</f>
        <v>96.840000000000018</v>
      </c>
      <c r="G76" s="34">
        <v>8.25</v>
      </c>
      <c r="H76" s="34">
        <f t="shared" ref="H76:H78" si="18">ROUND(F76*G76,2)</f>
        <v>798.93</v>
      </c>
      <c r="I76" s="34">
        <f t="shared" ref="I76:I78" si="19">ROUND(H76*1.2735,2)</f>
        <v>1017.44</v>
      </c>
      <c r="K76" s="47" t="s">
        <v>31</v>
      </c>
      <c r="L76" s="47" t="s">
        <v>32</v>
      </c>
      <c r="M76" s="47" t="s">
        <v>31</v>
      </c>
      <c r="N76" s="47" t="s">
        <v>32</v>
      </c>
      <c r="O76" s="47" t="s">
        <v>31</v>
      </c>
      <c r="P76" s="47" t="s">
        <v>32</v>
      </c>
      <c r="Q76" s="47" t="s">
        <v>31</v>
      </c>
      <c r="R76" s="47" t="s">
        <v>32</v>
      </c>
      <c r="S76" s="47" t="s">
        <v>31</v>
      </c>
      <c r="T76" s="47" t="s">
        <v>32</v>
      </c>
    </row>
    <row r="77" spans="1:20" ht="25.15" customHeight="1" x14ac:dyDescent="0.25">
      <c r="A77" s="32" t="s">
        <v>454</v>
      </c>
      <c r="B77" s="32" t="s">
        <v>66</v>
      </c>
      <c r="C77" s="32" t="s">
        <v>148</v>
      </c>
      <c r="D77" s="33" t="s">
        <v>67</v>
      </c>
      <c r="E77" s="32" t="s">
        <v>154</v>
      </c>
      <c r="F77" s="131">
        <f t="shared" ref="F77:F78" si="20">58.38+ROUND(2*(2*(1.7+2))*3.02,2)-ROUND(2*((2.1*1)+(1.7*0.6)),2)</f>
        <v>96.840000000000018</v>
      </c>
      <c r="G77" s="34">
        <v>25.25</v>
      </c>
      <c r="H77" s="34">
        <f t="shared" si="18"/>
        <v>2445.21</v>
      </c>
      <c r="I77" s="34">
        <f t="shared" si="19"/>
        <v>3113.97</v>
      </c>
      <c r="K77" s="48">
        <f>(L77/100)*$I76</f>
        <v>0</v>
      </c>
      <c r="L77" s="49"/>
      <c r="M77" s="48">
        <f>(N77/100)*$I76</f>
        <v>0</v>
      </c>
      <c r="N77" s="49"/>
      <c r="O77" s="48">
        <f>(P77/100)*$I76</f>
        <v>0</v>
      </c>
      <c r="P77" s="49"/>
      <c r="Q77" s="48">
        <f>(R77/100)*$I76</f>
        <v>0</v>
      </c>
      <c r="R77" s="49"/>
      <c r="S77" s="48">
        <f>(T77/100)*$I76</f>
        <v>0</v>
      </c>
      <c r="T77" s="49"/>
    </row>
    <row r="78" spans="1:20" ht="25.15" customHeight="1" x14ac:dyDescent="0.25">
      <c r="A78" s="32" t="s">
        <v>68</v>
      </c>
      <c r="B78" s="32" t="s">
        <v>142</v>
      </c>
      <c r="C78" s="32" t="s">
        <v>148</v>
      </c>
      <c r="D78" s="33" t="s">
        <v>69</v>
      </c>
      <c r="E78" s="32" t="s">
        <v>154</v>
      </c>
      <c r="F78" s="131">
        <f t="shared" si="20"/>
        <v>96.840000000000018</v>
      </c>
      <c r="G78" s="34">
        <v>11.7</v>
      </c>
      <c r="H78" s="34">
        <f t="shared" si="18"/>
        <v>1133.03</v>
      </c>
      <c r="I78" s="34">
        <f t="shared" si="19"/>
        <v>1442.91</v>
      </c>
      <c r="K78" s="48">
        <f>(L78/100)*$I77</f>
        <v>0</v>
      </c>
      <c r="L78" s="49"/>
      <c r="M78" s="48">
        <f>(N78/100)*$I77</f>
        <v>0</v>
      </c>
      <c r="N78" s="49"/>
      <c r="O78" s="48">
        <f>(P78/100)*$I77</f>
        <v>0</v>
      </c>
      <c r="P78" s="49"/>
      <c r="Q78" s="48">
        <f>(R78/100)*$I77</f>
        <v>0</v>
      </c>
      <c r="R78" s="49"/>
      <c r="S78" s="48">
        <f>(T78/100)*$I77</f>
        <v>0</v>
      </c>
      <c r="T78" s="49"/>
    </row>
    <row r="79" spans="1:20" ht="25.15" customHeight="1" x14ac:dyDescent="0.25">
      <c r="A79" s="178" t="s">
        <v>70</v>
      </c>
      <c r="B79" s="179"/>
      <c r="C79" s="179"/>
      <c r="D79" s="179"/>
      <c r="E79" s="179"/>
      <c r="F79" s="179"/>
      <c r="G79" s="180"/>
      <c r="H79" s="54">
        <f>SUM(H76:H78)</f>
        <v>4377.17</v>
      </c>
      <c r="I79" s="54">
        <f>SUM(I76:I78)</f>
        <v>5574.32</v>
      </c>
      <c r="K79" s="48" t="e">
        <f>(L79/100)*#REF!</f>
        <v>#REF!</v>
      </c>
      <c r="L79" s="49"/>
      <c r="M79" s="48" t="e">
        <f>(N79/100)*#REF!</f>
        <v>#REF!</v>
      </c>
      <c r="N79" s="49"/>
      <c r="O79" s="48" t="e">
        <f>(P79/100)*#REF!</f>
        <v>#REF!</v>
      </c>
      <c r="P79" s="49"/>
      <c r="Q79" s="48" t="e">
        <f>(R79/100)*#REF!</f>
        <v>#REF!</v>
      </c>
      <c r="R79" s="49"/>
      <c r="S79" s="48" t="e">
        <f>(T79/100)*#REF!</f>
        <v>#REF!</v>
      </c>
      <c r="T79" s="49"/>
    </row>
    <row r="80" spans="1:20" s="42" customFormat="1" ht="12" customHeight="1" x14ac:dyDescent="0.25">
      <c r="A80" s="5"/>
      <c r="B80" s="5"/>
      <c r="C80" s="5"/>
      <c r="D80" s="5"/>
      <c r="E80" s="5"/>
      <c r="F80" s="5"/>
      <c r="G80" s="5"/>
      <c r="H80" s="5"/>
      <c r="I80" s="43"/>
      <c r="J80" s="39"/>
      <c r="K80" s="40" t="e">
        <f>SUM(#REF!)</f>
        <v>#REF!</v>
      </c>
      <c r="L80" s="41" t="e">
        <f>(SUM(#REF!)/$I$90)</f>
        <v>#REF!</v>
      </c>
      <c r="M80" s="55" t="e">
        <f>SUM(#REF!)</f>
        <v>#REF!</v>
      </c>
      <c r="N80" s="56" t="e">
        <f>(SUM(#REF!)/$I$90)</f>
        <v>#REF!</v>
      </c>
      <c r="O80" s="55" t="e">
        <f>SUM(#REF!)</f>
        <v>#REF!</v>
      </c>
      <c r="P80" s="56" t="e">
        <f>(SUM(#REF!)/$I$90)</f>
        <v>#REF!</v>
      </c>
      <c r="Q80" s="55" t="e">
        <f>SUM(#REF!)</f>
        <v>#REF!</v>
      </c>
      <c r="R80" s="56" t="e">
        <f>(SUM(#REF!)/$I$90)</f>
        <v>#REF!</v>
      </c>
      <c r="S80" s="55" t="e">
        <f>SUM(#REF!)</f>
        <v>#REF!</v>
      </c>
      <c r="T80" s="56" t="e">
        <f>(SUM(#REF!)/$I$90)</f>
        <v>#REF!</v>
      </c>
    </row>
    <row r="81" spans="1:20" s="5" customFormat="1" ht="25.15" customHeight="1" x14ac:dyDescent="0.25">
      <c r="A81" s="173" t="s">
        <v>71</v>
      </c>
      <c r="B81" s="174"/>
      <c r="C81" s="174"/>
      <c r="D81" s="174"/>
      <c r="E81" s="174"/>
      <c r="F81" s="174"/>
      <c r="G81" s="174"/>
      <c r="H81" s="174"/>
      <c r="I81" s="175"/>
      <c r="K81" s="35"/>
      <c r="L81" s="37"/>
      <c r="M81" s="57"/>
      <c r="N81" s="58"/>
      <c r="O81" s="59"/>
      <c r="P81" s="60"/>
      <c r="Q81" s="59"/>
      <c r="R81" s="60"/>
      <c r="S81" s="59"/>
      <c r="T81" s="61"/>
    </row>
    <row r="82" spans="1:20" ht="25.15" customHeight="1" x14ac:dyDescent="0.25">
      <c r="A82" s="25" t="s">
        <v>197</v>
      </c>
      <c r="B82" s="25" t="s">
        <v>25</v>
      </c>
      <c r="C82" s="25" t="s">
        <v>26</v>
      </c>
      <c r="D82" s="26" t="s">
        <v>198</v>
      </c>
      <c r="E82" s="25" t="s">
        <v>28</v>
      </c>
      <c r="F82" s="25" t="s">
        <v>29</v>
      </c>
      <c r="G82" s="27" t="s">
        <v>18</v>
      </c>
      <c r="H82" s="28" t="s">
        <v>30</v>
      </c>
      <c r="I82" s="29" t="s">
        <v>30</v>
      </c>
      <c r="K82" s="176" t="s">
        <v>23</v>
      </c>
      <c r="L82" s="176"/>
      <c r="M82" s="176" t="s">
        <v>23</v>
      </c>
      <c r="N82" s="176"/>
      <c r="O82" s="176" t="s">
        <v>23</v>
      </c>
      <c r="P82" s="176"/>
      <c r="Q82" s="176" t="s">
        <v>23</v>
      </c>
      <c r="R82" s="176"/>
      <c r="S82" s="181" t="s">
        <v>23</v>
      </c>
      <c r="T82" s="182"/>
    </row>
    <row r="83" spans="1:20" ht="25.15" customHeight="1" x14ac:dyDescent="0.25">
      <c r="A83" s="32" t="s">
        <v>72</v>
      </c>
      <c r="B83" s="32" t="s">
        <v>136</v>
      </c>
      <c r="C83" s="32" t="s">
        <v>148</v>
      </c>
      <c r="D83" s="33" t="s">
        <v>137</v>
      </c>
      <c r="E83" s="32" t="s">
        <v>154</v>
      </c>
      <c r="F83" s="131">
        <f>5*3</f>
        <v>15</v>
      </c>
      <c r="G83" s="34">
        <v>975.84</v>
      </c>
      <c r="H83" s="34">
        <f t="shared" ref="H83:H84" si="21">ROUND(F83*G83,2)</f>
        <v>14637.6</v>
      </c>
      <c r="I83" s="34">
        <f t="shared" ref="I83:I84" si="22">ROUND(H83*1.2735,2)</f>
        <v>18640.98</v>
      </c>
      <c r="K83" s="48" t="e">
        <f>(L83/100)*#REF!</f>
        <v>#REF!</v>
      </c>
      <c r="L83" s="49"/>
      <c r="M83" s="48" t="e">
        <f>(N83/100)*#REF!</f>
        <v>#REF!</v>
      </c>
      <c r="N83" s="49"/>
      <c r="O83" s="48" t="e">
        <f>(P83/100)*#REF!</f>
        <v>#REF!</v>
      </c>
      <c r="P83" s="49"/>
      <c r="Q83" s="48" t="e">
        <f>(R83/100)*#REF!</f>
        <v>#REF!</v>
      </c>
      <c r="R83" s="49"/>
      <c r="S83" s="48" t="e">
        <f>(T83/100)*#REF!</f>
        <v>#REF!</v>
      </c>
      <c r="T83" s="49"/>
    </row>
    <row r="84" spans="1:20" ht="30.2" customHeight="1" x14ac:dyDescent="0.25">
      <c r="A84" s="32" t="s">
        <v>143</v>
      </c>
      <c r="B84" s="32">
        <v>91338</v>
      </c>
      <c r="C84" s="32" t="s">
        <v>2</v>
      </c>
      <c r="D84" s="33" t="s">
        <v>191</v>
      </c>
      <c r="E84" s="32" t="s">
        <v>154</v>
      </c>
      <c r="F84" s="131">
        <f>ROUND(2*1*2.1,2)</f>
        <v>4.2</v>
      </c>
      <c r="G84" s="34">
        <v>819.1</v>
      </c>
      <c r="H84" s="34">
        <f t="shared" si="21"/>
        <v>3440.22</v>
      </c>
      <c r="I84" s="34">
        <f t="shared" si="22"/>
        <v>4381.12</v>
      </c>
      <c r="K84" s="48"/>
      <c r="L84" s="49"/>
      <c r="M84" s="48"/>
      <c r="N84" s="49"/>
      <c r="O84" s="48"/>
      <c r="P84" s="49"/>
      <c r="Q84" s="48"/>
      <c r="R84" s="49"/>
      <c r="S84" s="48"/>
      <c r="T84" s="49"/>
    </row>
    <row r="85" spans="1:20" ht="30.2" customHeight="1" x14ac:dyDescent="0.25">
      <c r="A85" s="32" t="s">
        <v>466</v>
      </c>
      <c r="B85" s="32" t="s">
        <v>468</v>
      </c>
      <c r="C85" s="32" t="s">
        <v>148</v>
      </c>
      <c r="D85" s="33" t="s">
        <v>467</v>
      </c>
      <c r="E85" s="32" t="s">
        <v>99</v>
      </c>
      <c r="F85" s="131">
        <f>5+1+1</f>
        <v>7</v>
      </c>
      <c r="G85" s="34">
        <v>154.34</v>
      </c>
      <c r="H85" s="34">
        <f t="shared" ref="H85" si="23">ROUND(F85*G85,2)</f>
        <v>1080.3800000000001</v>
      </c>
      <c r="I85" s="34">
        <f t="shared" ref="I85" si="24">ROUND(H85*1.2735,2)</f>
        <v>1375.86</v>
      </c>
      <c r="K85" s="48"/>
      <c r="L85" s="49"/>
      <c r="M85" s="48"/>
      <c r="N85" s="49"/>
      <c r="O85" s="48"/>
      <c r="P85" s="49"/>
      <c r="Q85" s="48"/>
      <c r="R85" s="49"/>
      <c r="S85" s="48"/>
      <c r="T85" s="49"/>
    </row>
    <row r="86" spans="1:20" ht="25.15" customHeight="1" x14ac:dyDescent="0.25">
      <c r="A86" s="25" t="s">
        <v>256</v>
      </c>
      <c r="B86" s="25" t="s">
        <v>25</v>
      </c>
      <c r="C86" s="25" t="s">
        <v>26</v>
      </c>
      <c r="D86" s="26" t="s">
        <v>199</v>
      </c>
      <c r="E86" s="25" t="s">
        <v>28</v>
      </c>
      <c r="F86" s="25" t="s">
        <v>29</v>
      </c>
      <c r="G86" s="27" t="s">
        <v>18</v>
      </c>
      <c r="H86" s="28" t="s">
        <v>30</v>
      </c>
      <c r="I86" s="29" t="s">
        <v>30</v>
      </c>
      <c r="K86" s="48"/>
      <c r="L86" s="49"/>
      <c r="M86" s="48"/>
      <c r="N86" s="49"/>
      <c r="O86" s="48"/>
      <c r="P86" s="49"/>
      <c r="Q86" s="48"/>
      <c r="R86" s="49"/>
      <c r="S86" s="48"/>
      <c r="T86" s="49"/>
    </row>
    <row r="87" spans="1:20" ht="25.15" customHeight="1" x14ac:dyDescent="0.25">
      <c r="A87" s="32" t="s">
        <v>257</v>
      </c>
      <c r="B87" s="32" t="s">
        <v>180</v>
      </c>
      <c r="C87" s="32" t="s">
        <v>148</v>
      </c>
      <c r="D87" s="33" t="s">
        <v>179</v>
      </c>
      <c r="E87" s="32" t="s">
        <v>154</v>
      </c>
      <c r="F87" s="131">
        <f>ROUND((1*4*1)+(7*3*1),2)</f>
        <v>25</v>
      </c>
      <c r="G87" s="34">
        <v>425.88</v>
      </c>
      <c r="H87" s="34">
        <f>ROUND(F87*G87,2)</f>
        <v>10647</v>
      </c>
      <c r="I87" s="34">
        <f>ROUND(H87*1.2735,2)</f>
        <v>13558.95</v>
      </c>
      <c r="K87" s="48"/>
      <c r="L87" s="49"/>
      <c r="M87" s="48"/>
      <c r="N87" s="49"/>
      <c r="O87" s="48"/>
      <c r="P87" s="49"/>
      <c r="Q87" s="48"/>
      <c r="R87" s="49"/>
      <c r="S87" s="48"/>
      <c r="T87" s="49"/>
    </row>
    <row r="88" spans="1:20" ht="30.2" customHeight="1" x14ac:dyDescent="0.25">
      <c r="A88" s="32" t="s">
        <v>455</v>
      </c>
      <c r="B88" s="32">
        <v>94569</v>
      </c>
      <c r="C88" s="32" t="s">
        <v>2</v>
      </c>
      <c r="D88" s="33" t="s">
        <v>459</v>
      </c>
      <c r="E88" s="32" t="s">
        <v>154</v>
      </c>
      <c r="F88" s="131">
        <f>ROUND(2*1.7*0.6,2)</f>
        <v>2.04</v>
      </c>
      <c r="G88" s="34">
        <v>653.14</v>
      </c>
      <c r="H88" s="34">
        <f t="shared" ref="H88:H89" si="25">ROUND(F88*G88,2)</f>
        <v>1332.41</v>
      </c>
      <c r="I88" s="34">
        <f t="shared" ref="I88:I89" si="26">ROUND(H88*1.2735,2)</f>
        <v>1696.82</v>
      </c>
      <c r="K88" s="48"/>
      <c r="L88" s="49"/>
      <c r="M88" s="48"/>
      <c r="N88" s="49"/>
      <c r="O88" s="48"/>
      <c r="P88" s="49"/>
      <c r="Q88" s="48"/>
      <c r="R88" s="49"/>
      <c r="S88" s="48"/>
      <c r="T88" s="49"/>
    </row>
    <row r="89" spans="1:20" ht="30.2" customHeight="1" x14ac:dyDescent="0.25">
      <c r="A89" s="32" t="s">
        <v>456</v>
      </c>
      <c r="B89" s="32" t="s">
        <v>457</v>
      </c>
      <c r="C89" s="32" t="s">
        <v>148</v>
      </c>
      <c r="D89" s="33" t="s">
        <v>458</v>
      </c>
      <c r="E89" s="32" t="s">
        <v>99</v>
      </c>
      <c r="F89" s="131">
        <f>ROUND((1.7*2)+4+(3*7),2)</f>
        <v>28.4</v>
      </c>
      <c r="G89" s="34">
        <v>186.04</v>
      </c>
      <c r="H89" s="34">
        <f t="shared" si="25"/>
        <v>5283.54</v>
      </c>
      <c r="I89" s="34">
        <f t="shared" si="26"/>
        <v>6728.59</v>
      </c>
      <c r="K89" s="48"/>
      <c r="L89" s="49"/>
      <c r="M89" s="48"/>
      <c r="N89" s="49"/>
      <c r="O89" s="48"/>
      <c r="P89" s="49"/>
      <c r="Q89" s="48"/>
      <c r="R89" s="49"/>
      <c r="S89" s="48"/>
      <c r="T89" s="49"/>
    </row>
    <row r="90" spans="1:20" ht="25.15" customHeight="1" x14ac:dyDescent="0.25">
      <c r="A90" s="178" t="s">
        <v>73</v>
      </c>
      <c r="B90" s="179"/>
      <c r="C90" s="179"/>
      <c r="D90" s="179"/>
      <c r="E90" s="179"/>
      <c r="F90" s="179"/>
      <c r="G90" s="180"/>
      <c r="H90" s="54">
        <f>SUM(H83:H89)</f>
        <v>36421.15</v>
      </c>
      <c r="I90" s="38">
        <f>SUM(I83:I89)</f>
        <v>46382.320000000007</v>
      </c>
      <c r="K90" s="48" t="e">
        <f>(L90/100)*#REF!</f>
        <v>#REF!</v>
      </c>
      <c r="L90" s="49"/>
      <c r="M90" s="48" t="e">
        <f>(N90/100)*#REF!</f>
        <v>#REF!</v>
      </c>
      <c r="N90" s="49"/>
      <c r="O90" s="48" t="e">
        <f>(P90/100)*#REF!</f>
        <v>#REF!</v>
      </c>
      <c r="P90" s="49"/>
      <c r="Q90" s="48" t="e">
        <f>(R90/100)*#REF!</f>
        <v>#REF!</v>
      </c>
      <c r="R90" s="49"/>
      <c r="S90" s="48" t="e">
        <f>(T90/100)*#REF!</f>
        <v>#REF!</v>
      </c>
      <c r="T90" s="49"/>
    </row>
    <row r="91" spans="1:20" s="42" customFormat="1" ht="12" customHeight="1" x14ac:dyDescent="0.25">
      <c r="A91" s="5"/>
      <c r="B91" s="5"/>
      <c r="C91" s="5"/>
      <c r="D91" s="5"/>
      <c r="E91" s="5"/>
      <c r="F91" s="5"/>
      <c r="G91" s="5"/>
      <c r="H91" s="5"/>
      <c r="I91" s="43"/>
      <c r="J91" s="39"/>
      <c r="K91" s="40" t="e">
        <f>SUM(#REF!)</f>
        <v>#REF!</v>
      </c>
      <c r="L91" s="41" t="e">
        <f>(SUM(#REF!)/$I$90)</f>
        <v>#REF!</v>
      </c>
      <c r="M91" s="55" t="e">
        <f>SUM(#REF!)</f>
        <v>#REF!</v>
      </c>
      <c r="N91" s="56" t="e">
        <f>(SUM(#REF!)/$I$90)</f>
        <v>#REF!</v>
      </c>
      <c r="O91" s="55" t="e">
        <f>SUM(#REF!)</f>
        <v>#REF!</v>
      </c>
      <c r="P91" s="56" t="e">
        <f>(SUM(#REF!)/$I$90)</f>
        <v>#REF!</v>
      </c>
      <c r="Q91" s="55" t="e">
        <f>SUM(#REF!)</f>
        <v>#REF!</v>
      </c>
      <c r="R91" s="56" t="e">
        <f>(SUM(#REF!)/$I$90)</f>
        <v>#REF!</v>
      </c>
      <c r="S91" s="55" t="e">
        <f>SUM(#REF!)</f>
        <v>#REF!</v>
      </c>
      <c r="T91" s="56" t="e">
        <f>(SUM(#REF!)/$I$90)</f>
        <v>#REF!</v>
      </c>
    </row>
    <row r="92" spans="1:20" s="5" customFormat="1" ht="25.15" customHeight="1" x14ac:dyDescent="0.25">
      <c r="A92" s="173" t="s">
        <v>192</v>
      </c>
      <c r="B92" s="174"/>
      <c r="C92" s="174"/>
      <c r="D92" s="174"/>
      <c r="E92" s="174"/>
      <c r="F92" s="174"/>
      <c r="G92" s="174"/>
      <c r="H92" s="174"/>
      <c r="I92" s="175"/>
      <c r="K92" s="35"/>
      <c r="L92" s="37"/>
      <c r="M92" s="57"/>
      <c r="N92" s="58"/>
      <c r="O92" s="59"/>
      <c r="P92" s="37"/>
      <c r="Q92" s="59"/>
      <c r="R92" s="37"/>
      <c r="S92" s="59"/>
      <c r="T92" s="62"/>
    </row>
    <row r="93" spans="1:20" ht="25.15" customHeight="1" x14ac:dyDescent="0.25">
      <c r="A93" s="25" t="s">
        <v>258</v>
      </c>
      <c r="B93" s="25" t="s">
        <v>25</v>
      </c>
      <c r="C93" s="25" t="s">
        <v>26</v>
      </c>
      <c r="D93" s="26" t="s">
        <v>200</v>
      </c>
      <c r="E93" s="25" t="s">
        <v>28</v>
      </c>
      <c r="F93" s="25" t="s">
        <v>29</v>
      </c>
      <c r="G93" s="27" t="s">
        <v>18</v>
      </c>
      <c r="H93" s="28" t="s">
        <v>30</v>
      </c>
      <c r="I93" s="29" t="s">
        <v>30</v>
      </c>
      <c r="K93" s="176" t="s">
        <v>23</v>
      </c>
      <c r="L93" s="176"/>
      <c r="M93" s="176" t="s">
        <v>23</v>
      </c>
      <c r="N93" s="176"/>
      <c r="O93" s="176" t="s">
        <v>23</v>
      </c>
      <c r="P93" s="176"/>
      <c r="Q93" s="176" t="s">
        <v>23</v>
      </c>
      <c r="R93" s="176"/>
      <c r="S93" s="181" t="s">
        <v>23</v>
      </c>
      <c r="T93" s="182"/>
    </row>
    <row r="94" spans="1:20" ht="25.15" customHeight="1" x14ac:dyDescent="0.25">
      <c r="A94" s="32" t="s">
        <v>259</v>
      </c>
      <c r="B94" s="32" t="s">
        <v>201</v>
      </c>
      <c r="C94" s="32" t="s">
        <v>148</v>
      </c>
      <c r="D94" s="33" t="s">
        <v>202</v>
      </c>
      <c r="E94" s="32" t="s">
        <v>154</v>
      </c>
      <c r="F94" s="131">
        <f>ROUND(2*1.7*2,2)</f>
        <v>6.8</v>
      </c>
      <c r="G94" s="34">
        <v>30.23</v>
      </c>
      <c r="H94" s="34">
        <f t="shared" ref="H94:H96" si="27">ROUND(F94*G94,2)</f>
        <v>205.56</v>
      </c>
      <c r="I94" s="34">
        <f t="shared" ref="I94:I96" si="28">ROUND(H94*1.2735,2)</f>
        <v>261.77999999999997</v>
      </c>
      <c r="K94" s="47" t="s">
        <v>31</v>
      </c>
      <c r="L94" s="47" t="s">
        <v>32</v>
      </c>
      <c r="M94" s="47" t="s">
        <v>31</v>
      </c>
      <c r="N94" s="47" t="s">
        <v>32</v>
      </c>
      <c r="O94" s="47" t="s">
        <v>31</v>
      </c>
      <c r="P94" s="47" t="s">
        <v>32</v>
      </c>
      <c r="Q94" s="47" t="s">
        <v>31</v>
      </c>
      <c r="R94" s="47" t="s">
        <v>32</v>
      </c>
      <c r="S94" s="47" t="s">
        <v>31</v>
      </c>
      <c r="T94" s="47" t="s">
        <v>32</v>
      </c>
    </row>
    <row r="95" spans="1:20" ht="30.2" customHeight="1" x14ac:dyDescent="0.25">
      <c r="A95" s="32" t="s">
        <v>74</v>
      </c>
      <c r="B95" s="32">
        <v>87255</v>
      </c>
      <c r="C95" s="32" t="s">
        <v>2</v>
      </c>
      <c r="D95" s="33" t="s">
        <v>203</v>
      </c>
      <c r="E95" s="32" t="s">
        <v>154</v>
      </c>
      <c r="F95" s="131">
        <v>6.8</v>
      </c>
      <c r="G95" s="34">
        <v>128.66999999999999</v>
      </c>
      <c r="H95" s="34">
        <f t="shared" si="27"/>
        <v>874.96</v>
      </c>
      <c r="I95" s="34">
        <f t="shared" si="28"/>
        <v>1114.26</v>
      </c>
      <c r="K95" s="48">
        <f>(L95/100)*$I94</f>
        <v>0</v>
      </c>
      <c r="L95" s="49"/>
      <c r="M95" s="48">
        <f>(N95/100)*$I94</f>
        <v>0</v>
      </c>
      <c r="N95" s="49"/>
      <c r="O95" s="48">
        <f>(P95/100)*$I94</f>
        <v>0</v>
      </c>
      <c r="P95" s="49"/>
      <c r="Q95" s="48">
        <f>(R95/100)*$I94</f>
        <v>0</v>
      </c>
      <c r="R95" s="49"/>
      <c r="S95" s="48">
        <f>(T95/100)*$I94</f>
        <v>0</v>
      </c>
      <c r="T95" s="49"/>
    </row>
    <row r="96" spans="1:20" ht="30.2" customHeight="1" x14ac:dyDescent="0.25">
      <c r="A96" s="32" t="s">
        <v>75</v>
      </c>
      <c r="B96" s="32">
        <v>104611</v>
      </c>
      <c r="C96" s="32" t="s">
        <v>2</v>
      </c>
      <c r="D96" s="33" t="s">
        <v>204</v>
      </c>
      <c r="E96" s="32" t="s">
        <v>154</v>
      </c>
      <c r="F96" s="131">
        <f>ROUND(2*(2*(1.7+2))*3.02,2)-ROUND(2*((2.1*1)+(1.7*0.6)),2)</f>
        <v>38.46</v>
      </c>
      <c r="G96" s="34">
        <v>98.57</v>
      </c>
      <c r="H96" s="34">
        <f t="shared" si="27"/>
        <v>3791</v>
      </c>
      <c r="I96" s="34">
        <f t="shared" si="28"/>
        <v>4827.84</v>
      </c>
      <c r="K96" s="48">
        <f>(L96/100)*$I95</f>
        <v>0</v>
      </c>
      <c r="L96" s="49"/>
      <c r="M96" s="48">
        <f>(N96/100)*$I95</f>
        <v>0</v>
      </c>
      <c r="N96" s="49"/>
      <c r="O96" s="48">
        <f>(P96/100)*$I95</f>
        <v>0</v>
      </c>
      <c r="P96" s="49"/>
      <c r="Q96" s="48">
        <f>(R96/100)*$I95</f>
        <v>0</v>
      </c>
      <c r="R96" s="49"/>
      <c r="S96" s="48">
        <f>(T96/100)*$I95</f>
        <v>0</v>
      </c>
      <c r="T96" s="49"/>
    </row>
    <row r="97" spans="1:20" ht="25.15" customHeight="1" x14ac:dyDescent="0.25">
      <c r="A97" s="25" t="s">
        <v>260</v>
      </c>
      <c r="B97" s="25" t="s">
        <v>25</v>
      </c>
      <c r="C97" s="25" t="s">
        <v>26</v>
      </c>
      <c r="D97" s="26" t="s">
        <v>173</v>
      </c>
      <c r="E97" s="25" t="s">
        <v>28</v>
      </c>
      <c r="F97" s="25" t="s">
        <v>29</v>
      </c>
      <c r="G97" s="27" t="s">
        <v>18</v>
      </c>
      <c r="H97" s="28" t="s">
        <v>30</v>
      </c>
      <c r="I97" s="29" t="s">
        <v>30</v>
      </c>
      <c r="K97" s="176" t="s">
        <v>23</v>
      </c>
      <c r="L97" s="176"/>
      <c r="M97" s="176" t="s">
        <v>23</v>
      </c>
      <c r="N97" s="176"/>
      <c r="O97" s="176" t="s">
        <v>23</v>
      </c>
      <c r="P97" s="176"/>
      <c r="Q97" s="176" t="s">
        <v>23</v>
      </c>
      <c r="R97" s="176"/>
      <c r="S97" s="181" t="s">
        <v>23</v>
      </c>
      <c r="T97" s="182"/>
    </row>
    <row r="98" spans="1:20" ht="25.15" customHeight="1" x14ac:dyDescent="0.25">
      <c r="A98" s="32" t="s">
        <v>261</v>
      </c>
      <c r="B98" s="32">
        <v>88485</v>
      </c>
      <c r="C98" s="32" t="s">
        <v>2</v>
      </c>
      <c r="D98" s="33" t="s">
        <v>138</v>
      </c>
      <c r="E98" s="32" t="s">
        <v>154</v>
      </c>
      <c r="F98" s="131">
        <f>ROUND((250.86*2)+58.38,2)-F96</f>
        <v>521.64</v>
      </c>
      <c r="G98" s="34">
        <v>4.63</v>
      </c>
      <c r="H98" s="34">
        <f t="shared" ref="H98:H102" si="29">ROUND(F98*G98,2)</f>
        <v>2415.19</v>
      </c>
      <c r="I98" s="34">
        <f t="shared" ref="I98:I102" si="30">ROUND(H98*1.2735,2)</f>
        <v>3075.74</v>
      </c>
      <c r="K98" s="153"/>
      <c r="L98" s="153"/>
      <c r="M98" s="153"/>
      <c r="N98" s="153"/>
      <c r="O98" s="153"/>
      <c r="P98" s="153"/>
      <c r="Q98" s="153"/>
      <c r="R98" s="153"/>
      <c r="S98" s="151"/>
      <c r="T98" s="152"/>
    </row>
    <row r="99" spans="1:20" ht="25.15" customHeight="1" x14ac:dyDescent="0.25">
      <c r="A99" s="32" t="s">
        <v>262</v>
      </c>
      <c r="B99" s="32">
        <v>88489</v>
      </c>
      <c r="C99" s="32" t="s">
        <v>2</v>
      </c>
      <c r="D99" s="33" t="s">
        <v>139</v>
      </c>
      <c r="E99" s="32" t="s">
        <v>154</v>
      </c>
      <c r="F99" s="131">
        <f>ROUND((250.86*2)+58.38,2)-F96</f>
        <v>521.64</v>
      </c>
      <c r="G99" s="34">
        <v>13.99</v>
      </c>
      <c r="H99" s="34">
        <f t="shared" si="29"/>
        <v>7297.74</v>
      </c>
      <c r="I99" s="34">
        <f t="shared" si="30"/>
        <v>9293.67</v>
      </c>
      <c r="K99" s="153"/>
      <c r="L99" s="153"/>
      <c r="M99" s="153"/>
      <c r="N99" s="153"/>
      <c r="O99" s="153"/>
      <c r="P99" s="153"/>
      <c r="Q99" s="153"/>
      <c r="R99" s="153"/>
      <c r="S99" s="151"/>
      <c r="T99" s="152"/>
    </row>
    <row r="100" spans="1:20" ht="25.15" customHeight="1" x14ac:dyDescent="0.25">
      <c r="A100" s="32" t="s">
        <v>263</v>
      </c>
      <c r="B100" s="32">
        <v>88494</v>
      </c>
      <c r="C100" s="32" t="s">
        <v>2</v>
      </c>
      <c r="D100" s="33" t="s">
        <v>336</v>
      </c>
      <c r="E100" s="32" t="s">
        <v>154</v>
      </c>
      <c r="F100" s="131">
        <f>ROUND(2*1.7*2,2)</f>
        <v>6.8</v>
      </c>
      <c r="G100" s="34">
        <v>24.01</v>
      </c>
      <c r="H100" s="34">
        <f t="shared" si="29"/>
        <v>163.27000000000001</v>
      </c>
      <c r="I100" s="34">
        <f t="shared" si="30"/>
        <v>207.92</v>
      </c>
      <c r="K100" s="47" t="s">
        <v>31</v>
      </c>
      <c r="L100" s="47" t="s">
        <v>32</v>
      </c>
      <c r="M100" s="47" t="s">
        <v>31</v>
      </c>
      <c r="N100" s="47" t="s">
        <v>32</v>
      </c>
      <c r="O100" s="47" t="s">
        <v>31</v>
      </c>
      <c r="P100" s="47" t="s">
        <v>32</v>
      </c>
      <c r="Q100" s="47" t="s">
        <v>31</v>
      </c>
      <c r="R100" s="47" t="s">
        <v>32</v>
      </c>
      <c r="S100" s="47" t="s">
        <v>31</v>
      </c>
      <c r="T100" s="47" t="s">
        <v>32</v>
      </c>
    </row>
    <row r="101" spans="1:20" ht="25.15" customHeight="1" x14ac:dyDescent="0.25">
      <c r="A101" s="32" t="s">
        <v>264</v>
      </c>
      <c r="B101" s="32">
        <v>88488</v>
      </c>
      <c r="C101" s="32" t="s">
        <v>2</v>
      </c>
      <c r="D101" s="33" t="s">
        <v>205</v>
      </c>
      <c r="E101" s="32" t="s">
        <v>154</v>
      </c>
      <c r="F101" s="131">
        <f>ROUND(2*1.7*2,2)</f>
        <v>6.8</v>
      </c>
      <c r="G101" s="34">
        <v>16.690000000000001</v>
      </c>
      <c r="H101" s="34">
        <f t="shared" si="29"/>
        <v>113.49</v>
      </c>
      <c r="I101" s="34">
        <f t="shared" si="30"/>
        <v>144.53</v>
      </c>
      <c r="K101" s="48">
        <f>(L101/100)*$I100</f>
        <v>0</v>
      </c>
      <c r="L101" s="49"/>
      <c r="M101" s="48">
        <f>(N101/100)*$I100</f>
        <v>0</v>
      </c>
      <c r="N101" s="49"/>
      <c r="O101" s="48">
        <f>(P101/100)*$I100</f>
        <v>0</v>
      </c>
      <c r="P101" s="49"/>
      <c r="Q101" s="48">
        <f>(R101/100)*$I100</f>
        <v>0</v>
      </c>
      <c r="R101" s="49"/>
      <c r="S101" s="48">
        <f>(T101/100)*$I100</f>
        <v>0</v>
      </c>
      <c r="T101" s="49"/>
    </row>
    <row r="102" spans="1:20" ht="25.15" customHeight="1" x14ac:dyDescent="0.25">
      <c r="A102" s="32" t="s">
        <v>265</v>
      </c>
      <c r="B102" s="32" t="s">
        <v>141</v>
      </c>
      <c r="C102" s="32" t="s">
        <v>148</v>
      </c>
      <c r="D102" s="33" t="s">
        <v>140</v>
      </c>
      <c r="E102" s="32" t="s">
        <v>154</v>
      </c>
      <c r="F102" s="131">
        <f>5*3*2</f>
        <v>30</v>
      </c>
      <c r="G102" s="34">
        <v>43.55</v>
      </c>
      <c r="H102" s="34">
        <f t="shared" si="29"/>
        <v>1306.5</v>
      </c>
      <c r="I102" s="34">
        <f t="shared" si="30"/>
        <v>1663.83</v>
      </c>
      <c r="K102" s="48">
        <f>(L102/100)*$I101</f>
        <v>0</v>
      </c>
      <c r="L102" s="49"/>
      <c r="M102" s="48">
        <f>(N102/100)*$I101</f>
        <v>0</v>
      </c>
      <c r="N102" s="49"/>
      <c r="O102" s="48">
        <f>(P102/100)*$I101</f>
        <v>0</v>
      </c>
      <c r="P102" s="49"/>
      <c r="Q102" s="48">
        <f>(R102/100)*$I101</f>
        <v>0</v>
      </c>
      <c r="R102" s="49"/>
      <c r="S102" s="48">
        <f>(T102/100)*$I101</f>
        <v>0</v>
      </c>
      <c r="T102" s="49"/>
    </row>
    <row r="103" spans="1:20" ht="25.15" customHeight="1" x14ac:dyDescent="0.25">
      <c r="A103" s="32" t="s">
        <v>288</v>
      </c>
      <c r="B103" s="32" t="s">
        <v>289</v>
      </c>
      <c r="C103" s="32" t="s">
        <v>148</v>
      </c>
      <c r="D103" s="33" t="s">
        <v>290</v>
      </c>
      <c r="E103" s="32" t="s">
        <v>104</v>
      </c>
      <c r="F103" s="131">
        <f>F67</f>
        <v>1848.64</v>
      </c>
      <c r="G103" s="34">
        <v>4.0199999999999996</v>
      </c>
      <c r="H103" s="34">
        <f>ROUND(F103*G103,2)</f>
        <v>7431.53</v>
      </c>
      <c r="I103" s="34">
        <f>ROUND(H103*1.2735,2)</f>
        <v>9464.0499999999993</v>
      </c>
      <c r="K103" s="48">
        <f>(L103/100)*$I102</f>
        <v>0</v>
      </c>
      <c r="L103" s="49"/>
      <c r="M103" s="48">
        <f>(N103/100)*$I102</f>
        <v>0</v>
      </c>
      <c r="N103" s="49"/>
      <c r="O103" s="48">
        <f>(P103/100)*$I102</f>
        <v>0</v>
      </c>
      <c r="P103" s="49"/>
      <c r="Q103" s="48">
        <f>(R103/100)*$I102</f>
        <v>0</v>
      </c>
      <c r="R103" s="49"/>
      <c r="S103" s="48">
        <f>(T103/100)*$I102</f>
        <v>0</v>
      </c>
      <c r="T103" s="49"/>
    </row>
    <row r="104" spans="1:20" ht="25.15" customHeight="1" x14ac:dyDescent="0.25">
      <c r="A104" s="178" t="s">
        <v>76</v>
      </c>
      <c r="B104" s="179"/>
      <c r="C104" s="179"/>
      <c r="D104" s="179"/>
      <c r="E104" s="179"/>
      <c r="F104" s="179"/>
      <c r="G104" s="180"/>
      <c r="H104" s="54">
        <f>SUM(H94:H103)</f>
        <v>23599.24</v>
      </c>
      <c r="I104" s="54">
        <f>SUM(I94:I103)</f>
        <v>30053.62</v>
      </c>
      <c r="K104" s="48" t="e">
        <f>(L104/100)*#REF!</f>
        <v>#REF!</v>
      </c>
      <c r="L104" s="49"/>
      <c r="M104" s="48" t="e">
        <f>(N104/100)*#REF!</f>
        <v>#REF!</v>
      </c>
      <c r="N104" s="49"/>
      <c r="O104" s="48" t="e">
        <f>(P104/100)*#REF!</f>
        <v>#REF!</v>
      </c>
      <c r="P104" s="49"/>
      <c r="Q104" s="48" t="e">
        <f>(R104/100)*#REF!</f>
        <v>#REF!</v>
      </c>
      <c r="R104" s="49"/>
      <c r="S104" s="48" t="e">
        <f>(T104/100)*#REF!</f>
        <v>#REF!</v>
      </c>
      <c r="T104" s="49"/>
    </row>
    <row r="105" spans="1:20" ht="12" customHeight="1" x14ac:dyDescent="0.25">
      <c r="A105" s="5"/>
      <c r="B105" s="5"/>
      <c r="C105" s="5"/>
      <c r="D105" s="5"/>
      <c r="E105" s="5"/>
      <c r="F105" s="5"/>
      <c r="G105" s="5"/>
      <c r="H105" s="5"/>
      <c r="I105" s="43"/>
      <c r="K105" s="155"/>
      <c r="L105" s="156"/>
      <c r="M105" s="155"/>
      <c r="N105" s="156"/>
      <c r="O105" s="155"/>
      <c r="P105" s="156"/>
      <c r="Q105" s="155"/>
      <c r="R105" s="156"/>
      <c r="S105" s="155"/>
      <c r="T105" s="156"/>
    </row>
    <row r="106" spans="1:20" ht="25.15" customHeight="1" x14ac:dyDescent="0.25">
      <c r="A106" s="204" t="s">
        <v>452</v>
      </c>
      <c r="B106" s="204"/>
      <c r="C106" s="204"/>
      <c r="D106" s="204"/>
      <c r="E106" s="204"/>
      <c r="F106" s="204"/>
      <c r="G106" s="204"/>
      <c r="H106" s="204"/>
      <c r="I106" s="204"/>
      <c r="K106" s="155"/>
      <c r="L106" s="156"/>
      <c r="M106" s="155"/>
      <c r="N106" s="156"/>
      <c r="O106" s="155"/>
      <c r="P106" s="156"/>
      <c r="Q106" s="155"/>
      <c r="R106" s="156"/>
      <c r="S106" s="155"/>
      <c r="T106" s="156"/>
    </row>
    <row r="107" spans="1:20" ht="25.15" customHeight="1" x14ac:dyDescent="0.25">
      <c r="A107" s="25" t="s">
        <v>266</v>
      </c>
      <c r="B107" s="25" t="s">
        <v>25</v>
      </c>
      <c r="C107" s="25" t="s">
        <v>26</v>
      </c>
      <c r="D107" s="26" t="s">
        <v>445</v>
      </c>
      <c r="E107" s="25" t="s">
        <v>28</v>
      </c>
      <c r="F107" s="25" t="s">
        <v>29</v>
      </c>
      <c r="G107" s="27" t="s">
        <v>18</v>
      </c>
      <c r="H107" s="28" t="s">
        <v>30</v>
      </c>
      <c r="I107" s="29" t="s">
        <v>30</v>
      </c>
      <c r="K107" s="155"/>
      <c r="L107" s="156"/>
      <c r="M107" s="155"/>
      <c r="N107" s="156"/>
      <c r="O107" s="155"/>
      <c r="P107" s="156"/>
      <c r="Q107" s="155"/>
      <c r="R107" s="156"/>
      <c r="S107" s="155"/>
      <c r="T107" s="156"/>
    </row>
    <row r="108" spans="1:20" ht="25.15" customHeight="1" x14ac:dyDescent="0.25">
      <c r="A108" s="32" t="s">
        <v>267</v>
      </c>
      <c r="B108" s="157" t="s">
        <v>310</v>
      </c>
      <c r="C108" s="158" t="s">
        <v>148</v>
      </c>
      <c r="D108" s="63" t="s">
        <v>311</v>
      </c>
      <c r="E108" s="50" t="s">
        <v>154</v>
      </c>
      <c r="F108" s="132">
        <f>14*1.5+3*2</f>
        <v>27</v>
      </c>
      <c r="G108" s="34">
        <v>10.58</v>
      </c>
      <c r="H108" s="34">
        <f>ROUND(F108*G108,2)</f>
        <v>285.66000000000003</v>
      </c>
      <c r="I108" s="34">
        <f>ROUND(H108*1.2735,2)</f>
        <v>363.79</v>
      </c>
      <c r="K108" s="155"/>
      <c r="L108" s="156"/>
      <c r="M108" s="155"/>
      <c r="N108" s="156"/>
      <c r="O108" s="155"/>
      <c r="P108" s="156"/>
      <c r="Q108" s="155"/>
      <c r="R108" s="156"/>
      <c r="S108" s="155"/>
      <c r="T108" s="156"/>
    </row>
    <row r="109" spans="1:20" ht="25.15" customHeight="1" x14ac:dyDescent="0.25">
      <c r="A109" s="32" t="s">
        <v>268</v>
      </c>
      <c r="B109" s="157" t="s">
        <v>363</v>
      </c>
      <c r="C109" s="158" t="s">
        <v>148</v>
      </c>
      <c r="D109" s="63" t="s">
        <v>366</v>
      </c>
      <c r="E109" s="32" t="s">
        <v>154</v>
      </c>
      <c r="F109" s="132">
        <f>3.5*1.5</f>
        <v>5.25</v>
      </c>
      <c r="G109" s="34">
        <v>8.82</v>
      </c>
      <c r="H109" s="34">
        <f>ROUND(F109*G109,2)</f>
        <v>46.31</v>
      </c>
      <c r="I109" s="34">
        <f>ROUND(H109*1.2735,2)</f>
        <v>58.98</v>
      </c>
      <c r="K109" s="155"/>
      <c r="L109" s="156"/>
      <c r="M109" s="155"/>
      <c r="N109" s="156"/>
      <c r="O109" s="155"/>
      <c r="P109" s="156"/>
      <c r="Q109" s="155"/>
      <c r="R109" s="156"/>
      <c r="S109" s="155"/>
      <c r="T109" s="156"/>
    </row>
    <row r="110" spans="1:20" ht="25.15" customHeight="1" x14ac:dyDescent="0.25">
      <c r="A110" s="25" t="s">
        <v>269</v>
      </c>
      <c r="B110" s="25" t="s">
        <v>25</v>
      </c>
      <c r="C110" s="25" t="s">
        <v>26</v>
      </c>
      <c r="D110" s="26" t="s">
        <v>441</v>
      </c>
      <c r="E110" s="25" t="s">
        <v>28</v>
      </c>
      <c r="F110" s="25" t="s">
        <v>29</v>
      </c>
      <c r="G110" s="27" t="s">
        <v>18</v>
      </c>
      <c r="H110" s="28" t="s">
        <v>30</v>
      </c>
      <c r="I110" s="29" t="s">
        <v>30</v>
      </c>
      <c r="K110" s="155"/>
      <c r="L110" s="156"/>
      <c r="M110" s="155"/>
      <c r="N110" s="156"/>
      <c r="O110" s="155"/>
      <c r="P110" s="156"/>
      <c r="Q110" s="155"/>
      <c r="R110" s="156"/>
      <c r="S110" s="155"/>
      <c r="T110" s="156"/>
    </row>
    <row r="111" spans="1:20" ht="25.15" customHeight="1" x14ac:dyDescent="0.25">
      <c r="A111" s="32" t="s">
        <v>270</v>
      </c>
      <c r="B111" s="157" t="s">
        <v>369</v>
      </c>
      <c r="C111" s="158" t="s">
        <v>148</v>
      </c>
      <c r="D111" s="63" t="s">
        <v>370</v>
      </c>
      <c r="E111" s="32" t="s">
        <v>155</v>
      </c>
      <c r="F111" s="132">
        <f>ROUND(60*0.3*0.6,2)</f>
        <v>10.8</v>
      </c>
      <c r="G111" s="34">
        <v>52.92</v>
      </c>
      <c r="H111" s="34">
        <f t="shared" ref="H111:H117" si="31">ROUND(F111*G111,2)</f>
        <v>571.54</v>
      </c>
      <c r="I111" s="34">
        <f t="shared" ref="I111:I117" si="32">ROUND(H111*1.2735,2)</f>
        <v>727.86</v>
      </c>
      <c r="K111" s="155"/>
      <c r="L111" s="156"/>
      <c r="M111" s="155"/>
      <c r="N111" s="156"/>
      <c r="O111" s="155"/>
      <c r="P111" s="156"/>
      <c r="Q111" s="155"/>
      <c r="R111" s="156"/>
      <c r="S111" s="155"/>
      <c r="T111" s="156"/>
    </row>
    <row r="112" spans="1:20" ht="25.15" customHeight="1" x14ac:dyDescent="0.25">
      <c r="A112" s="32" t="s">
        <v>272</v>
      </c>
      <c r="B112" s="157" t="s">
        <v>460</v>
      </c>
      <c r="C112" s="158" t="s">
        <v>148</v>
      </c>
      <c r="D112" s="63" t="s">
        <v>462</v>
      </c>
      <c r="E112" s="50" t="s">
        <v>99</v>
      </c>
      <c r="F112" s="132">
        <f>ROUND(F113/3,2)</f>
        <v>166.67</v>
      </c>
      <c r="G112" s="34">
        <v>15.46</v>
      </c>
      <c r="H112" s="34">
        <f>ROUND(F112*G112,2)</f>
        <v>2576.7199999999998</v>
      </c>
      <c r="I112" s="34">
        <f>ROUND(H112*1.2735,2)</f>
        <v>3281.45</v>
      </c>
      <c r="K112" s="155"/>
      <c r="L112" s="156"/>
      <c r="M112" s="155"/>
      <c r="N112" s="156"/>
      <c r="O112" s="155"/>
      <c r="P112" s="156"/>
      <c r="Q112" s="155"/>
      <c r="R112" s="156"/>
      <c r="S112" s="155"/>
      <c r="T112" s="156"/>
    </row>
    <row r="113" spans="1:20" ht="32.450000000000003" customHeight="1" x14ac:dyDescent="0.25">
      <c r="A113" s="32" t="s">
        <v>404</v>
      </c>
      <c r="B113" s="157" t="s">
        <v>361</v>
      </c>
      <c r="C113" s="158" t="s">
        <v>148</v>
      </c>
      <c r="D113" s="63" t="s">
        <v>362</v>
      </c>
      <c r="E113" s="50" t="s">
        <v>99</v>
      </c>
      <c r="F113" s="132">
        <v>500</v>
      </c>
      <c r="G113" s="34">
        <v>22.37</v>
      </c>
      <c r="H113" s="34">
        <f>ROUND(F113*G113,2)</f>
        <v>11185</v>
      </c>
      <c r="I113" s="34">
        <f>ROUND(H113*1.2735,2)</f>
        <v>14244.1</v>
      </c>
      <c r="K113" s="155"/>
      <c r="L113" s="156"/>
      <c r="M113" s="155"/>
      <c r="N113" s="156"/>
      <c r="O113" s="155"/>
      <c r="P113" s="156"/>
      <c r="Q113" s="155"/>
      <c r="R113" s="156"/>
      <c r="S113" s="155"/>
      <c r="T113" s="156"/>
    </row>
    <row r="114" spans="1:20" ht="28.9" customHeight="1" x14ac:dyDescent="0.25">
      <c r="A114" s="32" t="s">
        <v>405</v>
      </c>
      <c r="B114" s="157" t="s">
        <v>356</v>
      </c>
      <c r="C114" s="158" t="s">
        <v>148</v>
      </c>
      <c r="D114" s="63" t="s">
        <v>446</v>
      </c>
      <c r="E114" s="50" t="s">
        <v>99</v>
      </c>
      <c r="F114" s="132">
        <v>70</v>
      </c>
      <c r="G114" s="34">
        <v>10.18</v>
      </c>
      <c r="H114" s="34">
        <f t="shared" si="31"/>
        <v>712.6</v>
      </c>
      <c r="I114" s="34">
        <f t="shared" si="32"/>
        <v>907.5</v>
      </c>
      <c r="K114" s="155"/>
      <c r="L114" s="156"/>
      <c r="M114" s="155"/>
      <c r="N114" s="156"/>
      <c r="O114" s="155"/>
      <c r="P114" s="156"/>
      <c r="Q114" s="155"/>
      <c r="R114" s="156"/>
      <c r="S114" s="155"/>
      <c r="T114" s="156"/>
    </row>
    <row r="115" spans="1:20" ht="30" customHeight="1" x14ac:dyDescent="0.25">
      <c r="A115" s="32" t="s">
        <v>406</v>
      </c>
      <c r="B115" s="157">
        <v>5</v>
      </c>
      <c r="C115" s="158" t="s">
        <v>40</v>
      </c>
      <c r="D115" s="63" t="s">
        <v>373</v>
      </c>
      <c r="E115" s="50" t="s">
        <v>175</v>
      </c>
      <c r="F115" s="132">
        <v>3</v>
      </c>
      <c r="G115" s="34">
        <f>Composição!G63</f>
        <v>1401.76</v>
      </c>
      <c r="H115" s="34">
        <f t="shared" si="31"/>
        <v>4205.28</v>
      </c>
      <c r="I115" s="34">
        <f t="shared" si="32"/>
        <v>5355.42</v>
      </c>
      <c r="K115" s="155"/>
      <c r="L115" s="156"/>
      <c r="M115" s="155"/>
      <c r="N115" s="156"/>
      <c r="O115" s="155"/>
      <c r="P115" s="156"/>
      <c r="Q115" s="155"/>
      <c r="R115" s="156"/>
      <c r="S115" s="155"/>
      <c r="T115" s="156"/>
    </row>
    <row r="116" spans="1:20" ht="25.15" customHeight="1" x14ac:dyDescent="0.25">
      <c r="A116" s="32" t="s">
        <v>443</v>
      </c>
      <c r="B116" s="157" t="s">
        <v>371</v>
      </c>
      <c r="C116" s="32" t="s">
        <v>148</v>
      </c>
      <c r="D116" s="63" t="s">
        <v>372</v>
      </c>
      <c r="E116" s="50" t="s">
        <v>155</v>
      </c>
      <c r="F116" s="132">
        <f>ROUND(60*0.3*0.1,2)</f>
        <v>1.8</v>
      </c>
      <c r="G116" s="34">
        <v>355.38</v>
      </c>
      <c r="H116" s="34">
        <f t="shared" si="31"/>
        <v>639.67999999999995</v>
      </c>
      <c r="I116" s="34">
        <f t="shared" si="32"/>
        <v>814.63</v>
      </c>
      <c r="K116" s="155"/>
      <c r="L116" s="156"/>
      <c r="M116" s="155"/>
      <c r="N116" s="156"/>
      <c r="O116" s="155"/>
      <c r="P116" s="156"/>
      <c r="Q116" s="155"/>
      <c r="R116" s="156"/>
      <c r="S116" s="155"/>
      <c r="T116" s="156"/>
    </row>
    <row r="117" spans="1:20" ht="25.15" customHeight="1" x14ac:dyDescent="0.25">
      <c r="A117" s="32" t="s">
        <v>461</v>
      </c>
      <c r="B117" s="157" t="s">
        <v>157</v>
      </c>
      <c r="C117" s="32" t="s">
        <v>148</v>
      </c>
      <c r="D117" s="63" t="s">
        <v>158</v>
      </c>
      <c r="E117" s="32" t="s">
        <v>155</v>
      </c>
      <c r="F117" s="132">
        <f>ROUND((F111-F116)*1.3,2)</f>
        <v>11.7</v>
      </c>
      <c r="G117" s="34">
        <v>16.46</v>
      </c>
      <c r="H117" s="34">
        <f t="shared" si="31"/>
        <v>192.58</v>
      </c>
      <c r="I117" s="34">
        <f t="shared" si="32"/>
        <v>245.25</v>
      </c>
      <c r="K117" s="155"/>
      <c r="L117" s="156"/>
      <c r="M117" s="155"/>
      <c r="N117" s="156"/>
      <c r="O117" s="155"/>
      <c r="P117" s="156"/>
      <c r="Q117" s="155"/>
      <c r="R117" s="156"/>
      <c r="S117" s="155"/>
      <c r="T117" s="156"/>
    </row>
    <row r="118" spans="1:20" ht="25.15" customHeight="1" x14ac:dyDescent="0.25">
      <c r="A118" s="25" t="s">
        <v>300</v>
      </c>
      <c r="B118" s="25" t="s">
        <v>25</v>
      </c>
      <c r="C118" s="25" t="s">
        <v>26</v>
      </c>
      <c r="D118" s="26" t="s">
        <v>442</v>
      </c>
      <c r="E118" s="25" t="s">
        <v>28</v>
      </c>
      <c r="F118" s="25" t="s">
        <v>29</v>
      </c>
      <c r="G118" s="27" t="s">
        <v>18</v>
      </c>
      <c r="H118" s="28" t="s">
        <v>30</v>
      </c>
      <c r="I118" s="29" t="s">
        <v>30</v>
      </c>
      <c r="K118" s="155"/>
      <c r="L118" s="156"/>
      <c r="M118" s="155"/>
      <c r="N118" s="156"/>
      <c r="O118" s="155"/>
      <c r="P118" s="156"/>
      <c r="Q118" s="155"/>
      <c r="R118" s="156"/>
      <c r="S118" s="155"/>
      <c r="T118" s="156"/>
    </row>
    <row r="119" spans="1:20" ht="34.15" customHeight="1" x14ac:dyDescent="0.25">
      <c r="A119" s="32" t="s">
        <v>301</v>
      </c>
      <c r="B119" s="157" t="s">
        <v>345</v>
      </c>
      <c r="C119" s="158" t="s">
        <v>148</v>
      </c>
      <c r="D119" s="63" t="s">
        <v>346</v>
      </c>
      <c r="E119" s="50" t="s">
        <v>175</v>
      </c>
      <c r="F119" s="131">
        <v>1</v>
      </c>
      <c r="G119" s="34">
        <v>629.9</v>
      </c>
      <c r="H119" s="34">
        <f t="shared" ref="H119" si="33">ROUND(F119*G119,2)</f>
        <v>629.9</v>
      </c>
      <c r="I119" s="34">
        <f t="shared" ref="I119" si="34">ROUND(H119*1.2735,2)</f>
        <v>802.18</v>
      </c>
      <c r="K119" s="155"/>
      <c r="L119" s="156"/>
      <c r="M119" s="155"/>
      <c r="N119" s="156"/>
      <c r="O119" s="155"/>
      <c r="P119" s="156"/>
      <c r="Q119" s="155"/>
      <c r="R119" s="156"/>
      <c r="S119" s="155"/>
      <c r="T119" s="156"/>
    </row>
    <row r="120" spans="1:20" ht="25.15" customHeight="1" x14ac:dyDescent="0.25">
      <c r="A120" s="32" t="s">
        <v>302</v>
      </c>
      <c r="B120" s="157" t="s">
        <v>347</v>
      </c>
      <c r="C120" s="158" t="s">
        <v>148</v>
      </c>
      <c r="D120" s="63" t="s">
        <v>348</v>
      </c>
      <c r="E120" s="50" t="s">
        <v>175</v>
      </c>
      <c r="F120" s="132">
        <v>7</v>
      </c>
      <c r="G120" s="34">
        <v>29.03</v>
      </c>
      <c r="H120" s="34">
        <f t="shared" ref="H120:H135" si="35">ROUND(F120*G120,2)</f>
        <v>203.21</v>
      </c>
      <c r="I120" s="34">
        <f t="shared" ref="I120:I135" si="36">ROUND(H120*1.2735,2)</f>
        <v>258.79000000000002</v>
      </c>
      <c r="K120" s="155"/>
      <c r="L120" s="156"/>
      <c r="M120" s="155"/>
      <c r="N120" s="156"/>
      <c r="O120" s="155"/>
      <c r="P120" s="156"/>
      <c r="Q120" s="155"/>
      <c r="R120" s="156"/>
      <c r="S120" s="155"/>
      <c r="T120" s="156"/>
    </row>
    <row r="121" spans="1:20" ht="25.15" customHeight="1" x14ac:dyDescent="0.25">
      <c r="A121" s="32" t="s">
        <v>303</v>
      </c>
      <c r="B121" s="157" t="s">
        <v>378</v>
      </c>
      <c r="C121" s="158" t="s">
        <v>148</v>
      </c>
      <c r="D121" s="63" t="s">
        <v>379</v>
      </c>
      <c r="E121" s="50" t="s">
        <v>175</v>
      </c>
      <c r="F121" s="132">
        <v>3</v>
      </c>
      <c r="G121" s="34">
        <v>152.27000000000001</v>
      </c>
      <c r="H121" s="34">
        <f t="shared" ref="H121:H123" si="37">ROUND(F121*G121,2)</f>
        <v>456.81</v>
      </c>
      <c r="I121" s="34">
        <f t="shared" ref="I121:I123" si="38">ROUND(H121*1.2735,2)</f>
        <v>581.75</v>
      </c>
      <c r="K121" s="155"/>
      <c r="L121" s="156"/>
      <c r="M121" s="155"/>
      <c r="N121" s="156"/>
      <c r="O121" s="155"/>
      <c r="P121" s="156"/>
      <c r="Q121" s="155"/>
      <c r="R121" s="156"/>
      <c r="S121" s="155"/>
      <c r="T121" s="156"/>
    </row>
    <row r="122" spans="1:20" ht="25.15" customHeight="1" x14ac:dyDescent="0.25">
      <c r="A122" s="32" t="s">
        <v>337</v>
      </c>
      <c r="B122" s="157" t="s">
        <v>380</v>
      </c>
      <c r="C122" s="158" t="s">
        <v>148</v>
      </c>
      <c r="D122" s="63" t="s">
        <v>381</v>
      </c>
      <c r="E122" s="50" t="s">
        <v>175</v>
      </c>
      <c r="F122" s="132">
        <v>2</v>
      </c>
      <c r="G122" s="34">
        <v>194.31</v>
      </c>
      <c r="H122" s="34">
        <f t="shared" si="37"/>
        <v>388.62</v>
      </c>
      <c r="I122" s="34">
        <f t="shared" si="38"/>
        <v>494.91</v>
      </c>
      <c r="K122" s="155"/>
      <c r="L122" s="156"/>
      <c r="M122" s="155"/>
      <c r="N122" s="156"/>
      <c r="O122" s="155"/>
      <c r="P122" s="156"/>
      <c r="Q122" s="155"/>
      <c r="R122" s="156"/>
      <c r="S122" s="155"/>
      <c r="T122" s="156"/>
    </row>
    <row r="123" spans="1:20" ht="30.2" customHeight="1" x14ac:dyDescent="0.25">
      <c r="A123" s="32" t="s">
        <v>407</v>
      </c>
      <c r="B123" s="157">
        <v>91975</v>
      </c>
      <c r="C123" s="32" t="s">
        <v>2</v>
      </c>
      <c r="D123" s="63" t="s">
        <v>384</v>
      </c>
      <c r="E123" s="50" t="s">
        <v>175</v>
      </c>
      <c r="F123" s="132">
        <v>1</v>
      </c>
      <c r="G123" s="34">
        <v>96.42</v>
      </c>
      <c r="H123" s="34">
        <f t="shared" si="37"/>
        <v>96.42</v>
      </c>
      <c r="I123" s="34">
        <f t="shared" si="38"/>
        <v>122.79</v>
      </c>
      <c r="K123" s="155"/>
      <c r="L123" s="156"/>
      <c r="M123" s="155"/>
      <c r="N123" s="156"/>
      <c r="O123" s="155"/>
      <c r="P123" s="156"/>
      <c r="Q123" s="155"/>
      <c r="R123" s="156"/>
      <c r="S123" s="155"/>
      <c r="T123" s="156"/>
    </row>
    <row r="124" spans="1:20" ht="25.15" customHeight="1" x14ac:dyDescent="0.25">
      <c r="A124" s="32" t="s">
        <v>408</v>
      </c>
      <c r="B124" s="157" t="s">
        <v>206</v>
      </c>
      <c r="C124" s="158" t="s">
        <v>148</v>
      </c>
      <c r="D124" s="63" t="s">
        <v>349</v>
      </c>
      <c r="E124" s="50" t="s">
        <v>207</v>
      </c>
      <c r="F124" s="132">
        <v>2</v>
      </c>
      <c r="G124" s="34">
        <v>32.51</v>
      </c>
      <c r="H124" s="34">
        <f t="shared" si="35"/>
        <v>65.02</v>
      </c>
      <c r="I124" s="34">
        <f t="shared" si="36"/>
        <v>82.8</v>
      </c>
      <c r="K124" s="155"/>
      <c r="L124" s="156"/>
      <c r="M124" s="155"/>
      <c r="N124" s="156"/>
      <c r="O124" s="155"/>
      <c r="P124" s="156"/>
      <c r="Q124" s="155"/>
      <c r="R124" s="156"/>
      <c r="S124" s="155"/>
      <c r="T124" s="156"/>
    </row>
    <row r="125" spans="1:20" ht="25.15" customHeight="1" x14ac:dyDescent="0.25">
      <c r="A125" s="32" t="s">
        <v>409</v>
      </c>
      <c r="B125" s="157" t="s">
        <v>350</v>
      </c>
      <c r="C125" s="158" t="s">
        <v>148</v>
      </c>
      <c r="D125" s="63" t="s">
        <v>351</v>
      </c>
      <c r="E125" s="50" t="s">
        <v>207</v>
      </c>
      <c r="F125" s="132">
        <v>15</v>
      </c>
      <c r="G125" s="34">
        <v>30.15</v>
      </c>
      <c r="H125" s="34">
        <f t="shared" si="35"/>
        <v>452.25</v>
      </c>
      <c r="I125" s="34">
        <f t="shared" si="36"/>
        <v>575.94000000000005</v>
      </c>
      <c r="K125" s="155"/>
      <c r="L125" s="156"/>
      <c r="M125" s="155"/>
      <c r="N125" s="156"/>
      <c r="O125" s="155"/>
      <c r="P125" s="156"/>
      <c r="Q125" s="155"/>
      <c r="R125" s="156"/>
      <c r="S125" s="155"/>
      <c r="T125" s="156"/>
    </row>
    <row r="126" spans="1:20" ht="25.15" customHeight="1" x14ac:dyDescent="0.25">
      <c r="A126" s="32" t="s">
        <v>410</v>
      </c>
      <c r="B126" s="157" t="s">
        <v>385</v>
      </c>
      <c r="C126" s="158" t="s">
        <v>148</v>
      </c>
      <c r="D126" s="63" t="s">
        <v>387</v>
      </c>
      <c r="E126" s="50" t="s">
        <v>175</v>
      </c>
      <c r="F126" s="132">
        <v>17</v>
      </c>
      <c r="G126" s="34">
        <v>14.12</v>
      </c>
      <c r="H126" s="34">
        <f t="shared" si="35"/>
        <v>240.04</v>
      </c>
      <c r="I126" s="34">
        <f t="shared" si="36"/>
        <v>305.69</v>
      </c>
      <c r="K126" s="155"/>
      <c r="L126" s="156"/>
      <c r="M126" s="155"/>
      <c r="N126" s="156"/>
      <c r="O126" s="155"/>
      <c r="P126" s="156"/>
      <c r="Q126" s="155"/>
      <c r="R126" s="156"/>
      <c r="S126" s="155"/>
      <c r="T126" s="156"/>
    </row>
    <row r="127" spans="1:20" ht="25.15" customHeight="1" x14ac:dyDescent="0.25">
      <c r="A127" s="32" t="s">
        <v>411</v>
      </c>
      <c r="B127" s="157" t="s">
        <v>386</v>
      </c>
      <c r="C127" s="158" t="s">
        <v>148</v>
      </c>
      <c r="D127" s="63" t="s">
        <v>388</v>
      </c>
      <c r="E127" s="50" t="s">
        <v>175</v>
      </c>
      <c r="F127" s="132">
        <v>5</v>
      </c>
      <c r="G127" s="34">
        <v>16.73</v>
      </c>
      <c r="H127" s="34">
        <f t="shared" si="35"/>
        <v>83.65</v>
      </c>
      <c r="I127" s="34">
        <f t="shared" si="36"/>
        <v>106.53</v>
      </c>
      <c r="K127" s="155"/>
      <c r="L127" s="156"/>
      <c r="M127" s="155"/>
      <c r="N127" s="156"/>
      <c r="O127" s="155"/>
      <c r="P127" s="156"/>
      <c r="Q127" s="155"/>
      <c r="R127" s="156"/>
      <c r="S127" s="155"/>
      <c r="T127" s="156"/>
    </row>
    <row r="128" spans="1:20" ht="25.15" customHeight="1" x14ac:dyDescent="0.25">
      <c r="A128" s="32" t="s">
        <v>412</v>
      </c>
      <c r="B128" s="157" t="s">
        <v>464</v>
      </c>
      <c r="C128" s="158" t="s">
        <v>148</v>
      </c>
      <c r="D128" s="63" t="s">
        <v>465</v>
      </c>
      <c r="E128" s="50" t="s">
        <v>175</v>
      </c>
      <c r="F128" s="132">
        <v>2</v>
      </c>
      <c r="G128" s="34">
        <v>16.989999999999998</v>
      </c>
      <c r="H128" s="34">
        <f t="shared" si="35"/>
        <v>33.979999999999997</v>
      </c>
      <c r="I128" s="34">
        <f t="shared" si="36"/>
        <v>43.27</v>
      </c>
      <c r="K128" s="155"/>
      <c r="L128" s="156"/>
      <c r="M128" s="155"/>
      <c r="N128" s="156"/>
      <c r="O128" s="155"/>
      <c r="P128" s="156"/>
      <c r="Q128" s="155"/>
      <c r="R128" s="156"/>
      <c r="S128" s="155"/>
      <c r="T128" s="156"/>
    </row>
    <row r="129" spans="1:20" ht="25.15" customHeight="1" x14ac:dyDescent="0.25">
      <c r="A129" s="32" t="s">
        <v>413</v>
      </c>
      <c r="B129" s="157">
        <v>6</v>
      </c>
      <c r="C129" s="32" t="s">
        <v>40</v>
      </c>
      <c r="D129" s="63" t="s">
        <v>396</v>
      </c>
      <c r="E129" s="50" t="s">
        <v>175</v>
      </c>
      <c r="F129" s="132">
        <v>2</v>
      </c>
      <c r="G129" s="34">
        <f>Composição!G71</f>
        <v>92.72</v>
      </c>
      <c r="H129" s="34">
        <f t="shared" ref="H129:H130" si="39">ROUND(F129*G129,2)</f>
        <v>185.44</v>
      </c>
      <c r="I129" s="34">
        <f t="shared" ref="I129:I130" si="40">ROUND(H129*1.2735,2)</f>
        <v>236.16</v>
      </c>
      <c r="K129" s="155"/>
      <c r="L129" s="156"/>
      <c r="M129" s="155"/>
      <c r="N129" s="156"/>
      <c r="O129" s="155"/>
      <c r="P129" s="156"/>
      <c r="Q129" s="155"/>
      <c r="R129" s="156"/>
      <c r="S129" s="155"/>
      <c r="T129" s="156"/>
    </row>
    <row r="130" spans="1:20" ht="25.15" customHeight="1" x14ac:dyDescent="0.25">
      <c r="A130" s="32" t="s">
        <v>414</v>
      </c>
      <c r="B130" s="157">
        <v>7</v>
      </c>
      <c r="C130" s="32" t="s">
        <v>40</v>
      </c>
      <c r="D130" s="63" t="s">
        <v>397</v>
      </c>
      <c r="E130" s="50" t="s">
        <v>175</v>
      </c>
      <c r="F130" s="132">
        <v>18</v>
      </c>
      <c r="G130" s="34">
        <f>Composição!G79</f>
        <v>135.07</v>
      </c>
      <c r="H130" s="34">
        <f t="shared" si="39"/>
        <v>2431.2600000000002</v>
      </c>
      <c r="I130" s="34">
        <f t="shared" si="40"/>
        <v>3096.21</v>
      </c>
      <c r="K130" s="155"/>
      <c r="L130" s="156"/>
      <c r="M130" s="155"/>
      <c r="N130" s="156"/>
      <c r="O130" s="155"/>
      <c r="P130" s="156"/>
      <c r="Q130" s="155"/>
      <c r="R130" s="156"/>
      <c r="S130" s="155"/>
      <c r="T130" s="156"/>
    </row>
    <row r="131" spans="1:20" ht="25.15" customHeight="1" x14ac:dyDescent="0.25">
      <c r="A131" s="32" t="s">
        <v>415</v>
      </c>
      <c r="B131" s="157" t="s">
        <v>352</v>
      </c>
      <c r="C131" s="158" t="s">
        <v>148</v>
      </c>
      <c r="D131" s="63" t="s">
        <v>353</v>
      </c>
      <c r="E131" s="50" t="s">
        <v>175</v>
      </c>
      <c r="F131" s="132">
        <v>4</v>
      </c>
      <c r="G131" s="34">
        <v>22.77</v>
      </c>
      <c r="H131" s="34">
        <f t="shared" si="35"/>
        <v>91.08</v>
      </c>
      <c r="I131" s="34">
        <f t="shared" si="36"/>
        <v>115.99</v>
      </c>
      <c r="K131" s="155"/>
      <c r="L131" s="156"/>
      <c r="M131" s="155"/>
      <c r="N131" s="156"/>
      <c r="O131" s="155"/>
      <c r="P131" s="156"/>
      <c r="Q131" s="155"/>
      <c r="R131" s="156"/>
      <c r="S131" s="155"/>
      <c r="T131" s="156"/>
    </row>
    <row r="132" spans="1:20" ht="25.15" customHeight="1" x14ac:dyDescent="0.25">
      <c r="A132" s="32" t="s">
        <v>416</v>
      </c>
      <c r="B132" s="157" t="s">
        <v>354</v>
      </c>
      <c r="C132" s="158" t="s">
        <v>148</v>
      </c>
      <c r="D132" s="63" t="s">
        <v>355</v>
      </c>
      <c r="E132" s="50" t="s">
        <v>175</v>
      </c>
      <c r="F132" s="132">
        <v>36</v>
      </c>
      <c r="G132" s="34">
        <v>28.53</v>
      </c>
      <c r="H132" s="34">
        <f t="shared" si="35"/>
        <v>1027.08</v>
      </c>
      <c r="I132" s="34">
        <f t="shared" si="36"/>
        <v>1307.99</v>
      </c>
      <c r="K132" s="155"/>
      <c r="L132" s="156"/>
      <c r="M132" s="155"/>
      <c r="N132" s="156"/>
      <c r="O132" s="155"/>
      <c r="P132" s="156"/>
      <c r="Q132" s="155"/>
      <c r="R132" s="156"/>
      <c r="S132" s="155"/>
      <c r="T132" s="156"/>
    </row>
    <row r="133" spans="1:20" ht="25.15" customHeight="1" x14ac:dyDescent="0.25">
      <c r="A133" s="32" t="s">
        <v>417</v>
      </c>
      <c r="B133" s="157" t="s">
        <v>357</v>
      </c>
      <c r="C133" s="158" t="s">
        <v>148</v>
      </c>
      <c r="D133" s="63" t="s">
        <v>359</v>
      </c>
      <c r="E133" s="50" t="s">
        <v>99</v>
      </c>
      <c r="F133" s="132">
        <v>900</v>
      </c>
      <c r="G133" s="34">
        <v>2.88</v>
      </c>
      <c r="H133" s="34">
        <f t="shared" si="35"/>
        <v>2592</v>
      </c>
      <c r="I133" s="34">
        <f t="shared" si="36"/>
        <v>3300.91</v>
      </c>
      <c r="K133" s="155"/>
      <c r="L133" s="156"/>
      <c r="M133" s="155"/>
      <c r="N133" s="156"/>
      <c r="O133" s="155"/>
      <c r="P133" s="156"/>
      <c r="Q133" s="155"/>
      <c r="R133" s="156"/>
      <c r="S133" s="155"/>
      <c r="T133" s="156"/>
    </row>
    <row r="134" spans="1:20" ht="25.15" customHeight="1" x14ac:dyDescent="0.25">
      <c r="A134" s="32" t="s">
        <v>418</v>
      </c>
      <c r="B134" s="157" t="s">
        <v>358</v>
      </c>
      <c r="C134" s="158" t="s">
        <v>148</v>
      </c>
      <c r="D134" s="63" t="s">
        <v>360</v>
      </c>
      <c r="E134" s="50" t="s">
        <v>99</v>
      </c>
      <c r="F134" s="132">
        <v>120</v>
      </c>
      <c r="G134" s="34">
        <v>5.25</v>
      </c>
      <c r="H134" s="34">
        <f t="shared" si="35"/>
        <v>630</v>
      </c>
      <c r="I134" s="34">
        <f t="shared" si="36"/>
        <v>802.31</v>
      </c>
      <c r="K134" s="155"/>
      <c r="L134" s="156"/>
      <c r="M134" s="155"/>
      <c r="N134" s="156"/>
      <c r="O134" s="155"/>
      <c r="P134" s="156"/>
      <c r="Q134" s="155"/>
      <c r="R134" s="156"/>
      <c r="S134" s="155"/>
      <c r="T134" s="156"/>
    </row>
    <row r="135" spans="1:20" ht="31.15" customHeight="1" x14ac:dyDescent="0.25">
      <c r="A135" s="32" t="s">
        <v>419</v>
      </c>
      <c r="B135" s="157" t="s">
        <v>382</v>
      </c>
      <c r="C135" s="158" t="s">
        <v>148</v>
      </c>
      <c r="D135" s="63" t="s">
        <v>383</v>
      </c>
      <c r="E135" s="50" t="s">
        <v>99</v>
      </c>
      <c r="F135" s="132">
        <v>150</v>
      </c>
      <c r="G135" s="34">
        <v>15.79</v>
      </c>
      <c r="H135" s="34">
        <f t="shared" si="35"/>
        <v>2368.5</v>
      </c>
      <c r="I135" s="34">
        <f t="shared" si="36"/>
        <v>3016.28</v>
      </c>
      <c r="K135" s="155"/>
      <c r="L135" s="156"/>
      <c r="M135" s="155"/>
      <c r="N135" s="156"/>
      <c r="O135" s="155"/>
      <c r="P135" s="156"/>
      <c r="Q135" s="155"/>
      <c r="R135" s="156"/>
      <c r="S135" s="155"/>
      <c r="T135" s="156"/>
    </row>
    <row r="136" spans="1:20" ht="31.15" customHeight="1" x14ac:dyDescent="0.25">
      <c r="A136" s="32" t="s">
        <v>420</v>
      </c>
      <c r="B136" s="157" t="s">
        <v>389</v>
      </c>
      <c r="C136" s="158" t="s">
        <v>148</v>
      </c>
      <c r="D136" s="63" t="s">
        <v>390</v>
      </c>
      <c r="E136" s="50" t="s">
        <v>99</v>
      </c>
      <c r="F136" s="132">
        <f>12*6</f>
        <v>72</v>
      </c>
      <c r="G136" s="34">
        <v>47.88</v>
      </c>
      <c r="H136" s="34">
        <f t="shared" ref="H136:H137" si="41">ROUND(F136*G136,2)</f>
        <v>3447.36</v>
      </c>
      <c r="I136" s="34">
        <f t="shared" ref="I136:I137" si="42">ROUND(H136*1.2735,2)</f>
        <v>4390.21</v>
      </c>
      <c r="K136" s="155"/>
      <c r="L136" s="156"/>
      <c r="M136" s="155"/>
      <c r="N136" s="156"/>
      <c r="O136" s="155"/>
      <c r="P136" s="156"/>
      <c r="Q136" s="155"/>
      <c r="R136" s="156"/>
      <c r="S136" s="155"/>
      <c r="T136" s="156"/>
    </row>
    <row r="137" spans="1:20" ht="31.15" customHeight="1" x14ac:dyDescent="0.25">
      <c r="A137" s="32" t="s">
        <v>463</v>
      </c>
      <c r="B137" s="157" t="s">
        <v>394</v>
      </c>
      <c r="C137" s="158" t="s">
        <v>148</v>
      </c>
      <c r="D137" s="63" t="s">
        <v>395</v>
      </c>
      <c r="E137" s="50" t="s">
        <v>175</v>
      </c>
      <c r="F137" s="132">
        <v>3</v>
      </c>
      <c r="G137" s="34">
        <v>235.44</v>
      </c>
      <c r="H137" s="34">
        <f t="shared" si="41"/>
        <v>706.32</v>
      </c>
      <c r="I137" s="34">
        <f t="shared" si="42"/>
        <v>899.5</v>
      </c>
      <c r="K137" s="155"/>
      <c r="L137" s="156"/>
      <c r="M137" s="155"/>
      <c r="N137" s="156"/>
      <c r="O137" s="155"/>
      <c r="P137" s="156"/>
      <c r="Q137" s="155"/>
      <c r="R137" s="156"/>
      <c r="S137" s="155"/>
      <c r="T137" s="156"/>
    </row>
    <row r="138" spans="1:20" ht="25.15" customHeight="1" x14ac:dyDescent="0.25">
      <c r="A138" s="25" t="s">
        <v>421</v>
      </c>
      <c r="B138" s="25" t="s">
        <v>25</v>
      </c>
      <c r="C138" s="25" t="s">
        <v>26</v>
      </c>
      <c r="D138" s="26" t="s">
        <v>213</v>
      </c>
      <c r="E138" s="25" t="s">
        <v>28</v>
      </c>
      <c r="F138" s="25" t="s">
        <v>29</v>
      </c>
      <c r="G138" s="27" t="s">
        <v>18</v>
      </c>
      <c r="H138" s="28" t="s">
        <v>30</v>
      </c>
      <c r="I138" s="29" t="s">
        <v>30</v>
      </c>
      <c r="K138" s="155"/>
      <c r="L138" s="156"/>
      <c r="M138" s="155"/>
      <c r="N138" s="156"/>
      <c r="O138" s="155"/>
      <c r="P138" s="156"/>
      <c r="Q138" s="155"/>
      <c r="R138" s="156"/>
      <c r="S138" s="155"/>
      <c r="T138" s="156"/>
    </row>
    <row r="139" spans="1:20" ht="32.450000000000003" customHeight="1" x14ac:dyDescent="0.25">
      <c r="A139" s="32" t="s">
        <v>422</v>
      </c>
      <c r="B139" s="32">
        <v>95635</v>
      </c>
      <c r="C139" s="158" t="s">
        <v>2</v>
      </c>
      <c r="D139" s="33" t="s">
        <v>374</v>
      </c>
      <c r="E139" s="50" t="s">
        <v>175</v>
      </c>
      <c r="F139" s="131">
        <v>1</v>
      </c>
      <c r="G139" s="34">
        <v>248.78</v>
      </c>
      <c r="H139" s="34">
        <f t="shared" ref="H139:H140" si="43">ROUND(F139*G139,2)</f>
        <v>248.78</v>
      </c>
      <c r="I139" s="34">
        <f t="shared" ref="I139:I140" si="44">ROUND(H139*1.2735,2)</f>
        <v>316.82</v>
      </c>
      <c r="K139" s="155"/>
      <c r="L139" s="156"/>
      <c r="M139" s="155"/>
      <c r="N139" s="156"/>
      <c r="O139" s="155"/>
      <c r="P139" s="156"/>
      <c r="Q139" s="155"/>
      <c r="R139" s="156"/>
      <c r="S139" s="155"/>
      <c r="T139" s="156"/>
    </row>
    <row r="140" spans="1:20" ht="25.15" customHeight="1" x14ac:dyDescent="0.25">
      <c r="A140" s="32" t="s">
        <v>423</v>
      </c>
      <c r="B140" s="32">
        <v>95675</v>
      </c>
      <c r="C140" s="158" t="s">
        <v>2</v>
      </c>
      <c r="D140" s="33" t="s">
        <v>375</v>
      </c>
      <c r="E140" s="50" t="s">
        <v>175</v>
      </c>
      <c r="F140" s="131">
        <v>1</v>
      </c>
      <c r="G140" s="34">
        <v>155.41999999999999</v>
      </c>
      <c r="H140" s="34">
        <f t="shared" si="43"/>
        <v>155.41999999999999</v>
      </c>
      <c r="I140" s="34">
        <f t="shared" si="44"/>
        <v>197.93</v>
      </c>
      <c r="K140" s="155"/>
      <c r="L140" s="156"/>
      <c r="M140" s="155"/>
      <c r="N140" s="156"/>
      <c r="O140" s="155"/>
      <c r="P140" s="156"/>
      <c r="Q140" s="155"/>
      <c r="R140" s="156"/>
      <c r="S140" s="155"/>
      <c r="T140" s="156"/>
    </row>
    <row r="141" spans="1:20" ht="45.2" customHeight="1" x14ac:dyDescent="0.25">
      <c r="A141" s="32" t="s">
        <v>424</v>
      </c>
      <c r="B141" s="157">
        <v>104660</v>
      </c>
      <c r="C141" s="158" t="s">
        <v>2</v>
      </c>
      <c r="D141" s="63" t="s">
        <v>246</v>
      </c>
      <c r="E141" s="50" t="s">
        <v>175</v>
      </c>
      <c r="F141" s="131">
        <v>2</v>
      </c>
      <c r="G141" s="34">
        <v>1458.92</v>
      </c>
      <c r="H141" s="34">
        <f t="shared" ref="H141:H147" si="45">ROUND(F141*G141,2)</f>
        <v>2917.84</v>
      </c>
      <c r="I141" s="34">
        <f t="shared" ref="I141:I147" si="46">ROUND(H141*1.2735,2)</f>
        <v>3715.87</v>
      </c>
      <c r="K141" s="155"/>
      <c r="L141" s="156"/>
      <c r="M141" s="155"/>
      <c r="N141" s="156"/>
      <c r="O141" s="155"/>
      <c r="P141" s="156"/>
      <c r="Q141" s="155"/>
      <c r="R141" s="156"/>
      <c r="S141" s="155"/>
      <c r="T141" s="156"/>
    </row>
    <row r="142" spans="1:20" ht="25.15" customHeight="1" x14ac:dyDescent="0.25">
      <c r="A142" s="32" t="s">
        <v>425</v>
      </c>
      <c r="B142" s="157" t="s">
        <v>293</v>
      </c>
      <c r="C142" s="158" t="s">
        <v>148</v>
      </c>
      <c r="D142" s="63" t="s">
        <v>294</v>
      </c>
      <c r="E142" s="50" t="s">
        <v>99</v>
      </c>
      <c r="F142" s="131">
        <f>20+8+6+6</f>
        <v>40</v>
      </c>
      <c r="G142" s="34">
        <v>27.91</v>
      </c>
      <c r="H142" s="34">
        <f t="shared" ref="H142" si="47">ROUND(F142*G142,2)</f>
        <v>1116.4000000000001</v>
      </c>
      <c r="I142" s="34">
        <f t="shared" ref="I142" si="48">ROUND(H142*1.2735,2)</f>
        <v>1421.74</v>
      </c>
      <c r="K142" s="155"/>
      <c r="L142" s="156"/>
      <c r="M142" s="155"/>
      <c r="N142" s="156"/>
      <c r="O142" s="155"/>
      <c r="P142" s="156"/>
      <c r="Q142" s="155"/>
      <c r="R142" s="156"/>
      <c r="S142" s="155"/>
      <c r="T142" s="156"/>
    </row>
    <row r="143" spans="1:20" ht="45.2" customHeight="1" x14ac:dyDescent="0.25">
      <c r="A143" s="32" t="s">
        <v>426</v>
      </c>
      <c r="B143" s="157">
        <v>104677</v>
      </c>
      <c r="C143" s="158" t="s">
        <v>2</v>
      </c>
      <c r="D143" s="63" t="s">
        <v>247</v>
      </c>
      <c r="E143" s="50" t="s">
        <v>175</v>
      </c>
      <c r="F143" s="131">
        <v>2</v>
      </c>
      <c r="G143" s="34">
        <v>734.03</v>
      </c>
      <c r="H143" s="34">
        <f t="shared" si="45"/>
        <v>1468.06</v>
      </c>
      <c r="I143" s="34">
        <f t="shared" si="46"/>
        <v>1869.57</v>
      </c>
      <c r="K143" s="155"/>
      <c r="L143" s="156"/>
      <c r="M143" s="155"/>
      <c r="N143" s="156"/>
      <c r="O143" s="155"/>
      <c r="P143" s="156"/>
      <c r="Q143" s="155"/>
      <c r="R143" s="156"/>
      <c r="S143" s="155"/>
      <c r="T143" s="156"/>
    </row>
    <row r="144" spans="1:20" ht="30.2" customHeight="1" x14ac:dyDescent="0.25">
      <c r="A144" s="32" t="s">
        <v>427</v>
      </c>
      <c r="B144" s="157" t="s">
        <v>315</v>
      </c>
      <c r="C144" s="158" t="s">
        <v>148</v>
      </c>
      <c r="D144" s="63" t="s">
        <v>316</v>
      </c>
      <c r="E144" s="50" t="s">
        <v>99</v>
      </c>
      <c r="F144" s="131">
        <v>35</v>
      </c>
      <c r="G144" s="34">
        <v>98.48</v>
      </c>
      <c r="H144" s="34">
        <f t="shared" ref="H144" si="49">ROUND(F144*G144,2)</f>
        <v>3446.8</v>
      </c>
      <c r="I144" s="34">
        <f t="shared" ref="I144" si="50">ROUND(H144*1.2735,2)</f>
        <v>4389.5</v>
      </c>
      <c r="K144" s="155"/>
      <c r="L144" s="156"/>
      <c r="M144" s="155"/>
      <c r="N144" s="156"/>
      <c r="O144" s="155"/>
      <c r="P144" s="156"/>
      <c r="Q144" s="155"/>
      <c r="R144" s="156"/>
      <c r="S144" s="155"/>
      <c r="T144" s="156"/>
    </row>
    <row r="145" spans="1:20" ht="30.2" customHeight="1" x14ac:dyDescent="0.25">
      <c r="A145" s="32" t="s">
        <v>428</v>
      </c>
      <c r="B145" s="157">
        <v>97902</v>
      </c>
      <c r="C145" s="158" t="s">
        <v>2</v>
      </c>
      <c r="D145" s="63" t="s">
        <v>208</v>
      </c>
      <c r="E145" s="50" t="s">
        <v>175</v>
      </c>
      <c r="F145" s="131">
        <v>2</v>
      </c>
      <c r="G145" s="34">
        <v>570.03</v>
      </c>
      <c r="H145" s="34">
        <f t="shared" si="45"/>
        <v>1140.06</v>
      </c>
      <c r="I145" s="34">
        <f t="shared" si="46"/>
        <v>1451.87</v>
      </c>
      <c r="K145" s="155"/>
      <c r="L145" s="156"/>
      <c r="M145" s="155"/>
      <c r="N145" s="156"/>
      <c r="O145" s="155"/>
      <c r="P145" s="156"/>
      <c r="Q145" s="155"/>
      <c r="R145" s="156"/>
      <c r="S145" s="155"/>
      <c r="T145" s="156"/>
    </row>
    <row r="146" spans="1:20" ht="25.15" customHeight="1" x14ac:dyDescent="0.25">
      <c r="A146" s="32" t="s">
        <v>429</v>
      </c>
      <c r="B146" s="157" t="s">
        <v>209</v>
      </c>
      <c r="C146" s="158" t="s">
        <v>148</v>
      </c>
      <c r="D146" s="63" t="s">
        <v>210</v>
      </c>
      <c r="E146" s="50" t="s">
        <v>175</v>
      </c>
      <c r="F146" s="131">
        <v>2</v>
      </c>
      <c r="G146" s="34">
        <v>11.68</v>
      </c>
      <c r="H146" s="34">
        <f t="shared" si="45"/>
        <v>23.36</v>
      </c>
      <c r="I146" s="34">
        <f t="shared" si="46"/>
        <v>29.75</v>
      </c>
      <c r="K146" s="155"/>
      <c r="L146" s="156"/>
      <c r="M146" s="155"/>
      <c r="N146" s="156"/>
      <c r="O146" s="155"/>
      <c r="P146" s="156"/>
      <c r="Q146" s="155"/>
      <c r="R146" s="156"/>
      <c r="S146" s="155"/>
      <c r="T146" s="156"/>
    </row>
    <row r="147" spans="1:20" ht="25.15" customHeight="1" x14ac:dyDescent="0.25">
      <c r="A147" s="32" t="s">
        <v>430</v>
      </c>
      <c r="B147" s="32" t="s">
        <v>211</v>
      </c>
      <c r="C147" s="32" t="s">
        <v>148</v>
      </c>
      <c r="D147" s="33" t="s">
        <v>212</v>
      </c>
      <c r="E147" s="32" t="s">
        <v>175</v>
      </c>
      <c r="F147" s="131">
        <v>2</v>
      </c>
      <c r="G147" s="34">
        <v>27.03</v>
      </c>
      <c r="H147" s="34">
        <f t="shared" si="45"/>
        <v>54.06</v>
      </c>
      <c r="I147" s="34">
        <f t="shared" si="46"/>
        <v>68.849999999999994</v>
      </c>
      <c r="K147" s="155"/>
      <c r="L147" s="156"/>
      <c r="M147" s="155"/>
      <c r="N147" s="156"/>
      <c r="O147" s="155"/>
      <c r="P147" s="156"/>
      <c r="Q147" s="155"/>
      <c r="R147" s="156"/>
      <c r="S147" s="155"/>
      <c r="T147" s="156"/>
    </row>
    <row r="148" spans="1:20" ht="25.15" customHeight="1" x14ac:dyDescent="0.25">
      <c r="A148" s="32" t="s">
        <v>431</v>
      </c>
      <c r="B148" s="32" t="s">
        <v>295</v>
      </c>
      <c r="C148" s="32" t="s">
        <v>148</v>
      </c>
      <c r="D148" s="33" t="s">
        <v>296</v>
      </c>
      <c r="E148" s="32" t="s">
        <v>175</v>
      </c>
      <c r="F148" s="131">
        <v>2</v>
      </c>
      <c r="G148" s="34">
        <v>633.58000000000004</v>
      </c>
      <c r="H148" s="34">
        <f t="shared" ref="H148" si="51">ROUND(F148*G148,2)</f>
        <v>1267.1600000000001</v>
      </c>
      <c r="I148" s="34">
        <f t="shared" ref="I148" si="52">ROUND(H148*1.2735,2)</f>
        <v>1613.73</v>
      </c>
      <c r="K148" s="155"/>
      <c r="L148" s="156"/>
      <c r="M148" s="155"/>
      <c r="N148" s="156"/>
      <c r="O148" s="155"/>
      <c r="P148" s="156"/>
      <c r="Q148" s="155"/>
      <c r="R148" s="156"/>
      <c r="S148" s="155"/>
      <c r="T148" s="156"/>
    </row>
    <row r="149" spans="1:20" ht="25.15" customHeight="1" x14ac:dyDescent="0.25">
      <c r="A149" s="25" t="s">
        <v>432</v>
      </c>
      <c r="B149" s="25" t="s">
        <v>25</v>
      </c>
      <c r="C149" s="25" t="s">
        <v>26</v>
      </c>
      <c r="D149" s="26" t="s">
        <v>304</v>
      </c>
      <c r="E149" s="25" t="s">
        <v>28</v>
      </c>
      <c r="F149" s="25" t="s">
        <v>29</v>
      </c>
      <c r="G149" s="27" t="s">
        <v>18</v>
      </c>
      <c r="H149" s="28" t="s">
        <v>30</v>
      </c>
      <c r="I149" s="29" t="s">
        <v>30</v>
      </c>
      <c r="K149" s="155"/>
      <c r="L149" s="156"/>
      <c r="M149" s="155"/>
      <c r="N149" s="156"/>
      <c r="O149" s="155"/>
      <c r="P149" s="156"/>
      <c r="Q149" s="155"/>
      <c r="R149" s="156"/>
      <c r="S149" s="155"/>
      <c r="T149" s="156"/>
    </row>
    <row r="150" spans="1:20" ht="25.15" customHeight="1" x14ac:dyDescent="0.25">
      <c r="A150" s="32" t="s">
        <v>433</v>
      </c>
      <c r="B150" s="157" t="s">
        <v>306</v>
      </c>
      <c r="C150" s="158" t="s">
        <v>305</v>
      </c>
      <c r="D150" s="63" t="s">
        <v>307</v>
      </c>
      <c r="E150" s="32" t="s">
        <v>99</v>
      </c>
      <c r="F150" s="131">
        <f>22.5+14+14</f>
        <v>50.5</v>
      </c>
      <c r="G150" s="34">
        <f>ROUND(165.48/(1.195),2)</f>
        <v>138.47999999999999</v>
      </c>
      <c r="H150" s="34">
        <f t="shared" ref="H150:H151" si="53">ROUND(F150*G150,2)</f>
        <v>6993.24</v>
      </c>
      <c r="I150" s="34">
        <f t="shared" ref="I150:I151" si="54">ROUND(H150*1.2735,2)</f>
        <v>8905.89</v>
      </c>
      <c r="K150" s="155"/>
      <c r="L150" s="156"/>
      <c r="M150" s="155"/>
      <c r="N150" s="156"/>
      <c r="O150" s="155"/>
      <c r="P150" s="156"/>
      <c r="Q150" s="155"/>
      <c r="R150" s="156"/>
      <c r="S150" s="155"/>
      <c r="T150" s="156"/>
    </row>
    <row r="151" spans="1:20" ht="25.15" customHeight="1" x14ac:dyDescent="0.25">
      <c r="A151" s="32" t="s">
        <v>434</v>
      </c>
      <c r="B151" s="157" t="s">
        <v>334</v>
      </c>
      <c r="C151" s="32" t="s">
        <v>148</v>
      </c>
      <c r="D151" s="63" t="s">
        <v>335</v>
      </c>
      <c r="E151" s="32" t="s">
        <v>154</v>
      </c>
      <c r="F151" s="132">
        <f>5*0.25</f>
        <v>1.25</v>
      </c>
      <c r="G151" s="34">
        <v>1079.9100000000001</v>
      </c>
      <c r="H151" s="34">
        <f t="shared" si="53"/>
        <v>1349.89</v>
      </c>
      <c r="I151" s="34">
        <f t="shared" si="54"/>
        <v>1719.08</v>
      </c>
      <c r="K151" s="155"/>
      <c r="L151" s="156"/>
      <c r="M151" s="155"/>
      <c r="N151" s="156"/>
      <c r="O151" s="155"/>
      <c r="P151" s="156"/>
      <c r="Q151" s="155"/>
      <c r="R151" s="156"/>
      <c r="S151" s="155"/>
      <c r="T151" s="156"/>
    </row>
    <row r="152" spans="1:20" ht="25.15" customHeight="1" x14ac:dyDescent="0.25">
      <c r="A152" s="32" t="s">
        <v>435</v>
      </c>
      <c r="B152" s="157" t="s">
        <v>308</v>
      </c>
      <c r="C152" s="158" t="s">
        <v>305</v>
      </c>
      <c r="D152" s="63" t="s">
        <v>309</v>
      </c>
      <c r="E152" s="32" t="s">
        <v>99</v>
      </c>
      <c r="F152" s="132">
        <f>F150-5</f>
        <v>45.5</v>
      </c>
      <c r="G152" s="34">
        <f>ROUND(114.21/(1.195),2)</f>
        <v>95.57</v>
      </c>
      <c r="H152" s="34">
        <f t="shared" ref="H152:H153" si="55">ROUND(F152*G152,2)</f>
        <v>4348.4399999999996</v>
      </c>
      <c r="I152" s="34">
        <f t="shared" ref="I152:I153" si="56">ROUND(H152*1.2735,2)</f>
        <v>5537.74</v>
      </c>
      <c r="K152" s="155"/>
      <c r="L152" s="156"/>
      <c r="M152" s="155"/>
      <c r="N152" s="156"/>
      <c r="O152" s="155"/>
      <c r="P152" s="156"/>
      <c r="Q152" s="155"/>
      <c r="R152" s="156"/>
      <c r="S152" s="155"/>
      <c r="T152" s="156"/>
    </row>
    <row r="153" spans="1:20" ht="30.2" customHeight="1" x14ac:dyDescent="0.25">
      <c r="A153" s="32" t="s">
        <v>436</v>
      </c>
      <c r="B153" s="157" t="s">
        <v>315</v>
      </c>
      <c r="C153" s="158" t="s">
        <v>148</v>
      </c>
      <c r="D153" s="63" t="s">
        <v>316</v>
      </c>
      <c r="E153" s="50" t="s">
        <v>99</v>
      </c>
      <c r="F153" s="131">
        <f>25+20</f>
        <v>45</v>
      </c>
      <c r="G153" s="34">
        <v>98.48</v>
      </c>
      <c r="H153" s="34">
        <f t="shared" si="55"/>
        <v>4431.6000000000004</v>
      </c>
      <c r="I153" s="34">
        <f t="shared" si="56"/>
        <v>5643.64</v>
      </c>
      <c r="K153" s="155"/>
      <c r="L153" s="156"/>
      <c r="M153" s="155"/>
      <c r="N153" s="156"/>
      <c r="O153" s="155"/>
      <c r="P153" s="156"/>
      <c r="Q153" s="155"/>
      <c r="R153" s="156"/>
      <c r="S153" s="155"/>
      <c r="T153" s="156"/>
    </row>
    <row r="154" spans="1:20" ht="30.2" customHeight="1" x14ac:dyDescent="0.25">
      <c r="A154" s="32" t="s">
        <v>447</v>
      </c>
      <c r="B154" s="157">
        <v>99253</v>
      </c>
      <c r="C154" s="158" t="s">
        <v>2</v>
      </c>
      <c r="D154" s="63" t="s">
        <v>448</v>
      </c>
      <c r="E154" s="50" t="s">
        <v>175</v>
      </c>
      <c r="F154" s="131">
        <v>2</v>
      </c>
      <c r="G154" s="34">
        <v>552.84</v>
      </c>
      <c r="H154" s="34">
        <f t="shared" ref="H154" si="57">ROUND(F154*G154,2)</f>
        <v>1105.68</v>
      </c>
      <c r="I154" s="34">
        <f t="shared" ref="I154" si="58">ROUND(H154*1.2735,2)</f>
        <v>1408.08</v>
      </c>
      <c r="K154" s="155"/>
      <c r="L154" s="156"/>
      <c r="M154" s="155"/>
      <c r="N154" s="156"/>
      <c r="O154" s="155"/>
      <c r="P154" s="156"/>
      <c r="Q154" s="155"/>
      <c r="R154" s="156"/>
      <c r="S154" s="155"/>
      <c r="T154" s="156"/>
    </row>
    <row r="155" spans="1:20" ht="30.2" customHeight="1" x14ac:dyDescent="0.25">
      <c r="A155" s="25" t="s">
        <v>437</v>
      </c>
      <c r="B155" s="25" t="s">
        <v>25</v>
      </c>
      <c r="C155" s="25" t="s">
        <v>26</v>
      </c>
      <c r="D155" s="26" t="s">
        <v>444</v>
      </c>
      <c r="E155" s="25" t="s">
        <v>28</v>
      </c>
      <c r="F155" s="25" t="s">
        <v>29</v>
      </c>
      <c r="G155" s="27" t="s">
        <v>18</v>
      </c>
      <c r="H155" s="28" t="s">
        <v>30</v>
      </c>
      <c r="I155" s="29" t="s">
        <v>30</v>
      </c>
      <c r="K155" s="155"/>
      <c r="L155" s="156"/>
      <c r="M155" s="155"/>
      <c r="N155" s="156"/>
      <c r="O155" s="155"/>
      <c r="P155" s="156"/>
      <c r="Q155" s="155"/>
      <c r="R155" s="156"/>
      <c r="S155" s="155"/>
      <c r="T155" s="156"/>
    </row>
    <row r="156" spans="1:20" ht="30.2" customHeight="1" x14ac:dyDescent="0.25">
      <c r="A156" s="32" t="s">
        <v>438</v>
      </c>
      <c r="B156" s="32" t="s">
        <v>312</v>
      </c>
      <c r="C156" s="32" t="s">
        <v>148</v>
      </c>
      <c r="D156" s="33" t="s">
        <v>313</v>
      </c>
      <c r="E156" s="32" t="s">
        <v>154</v>
      </c>
      <c r="F156" s="131">
        <f>14*1.5+3*2</f>
        <v>27</v>
      </c>
      <c r="G156" s="34">
        <v>23.95</v>
      </c>
      <c r="H156" s="34">
        <f>ROUND(F156*G156,2)</f>
        <v>646.65</v>
      </c>
      <c r="I156" s="34">
        <f>ROUND(H156*1.2735,2)</f>
        <v>823.51</v>
      </c>
      <c r="K156" s="155"/>
      <c r="L156" s="156"/>
      <c r="M156" s="155"/>
      <c r="N156" s="156"/>
      <c r="O156" s="155"/>
      <c r="P156" s="156"/>
      <c r="Q156" s="155"/>
      <c r="R156" s="156"/>
      <c r="S156" s="155"/>
      <c r="T156" s="156"/>
    </row>
    <row r="157" spans="1:20" ht="30.2" customHeight="1" x14ac:dyDescent="0.25">
      <c r="A157" s="32" t="s">
        <v>439</v>
      </c>
      <c r="B157" s="157" t="s">
        <v>364</v>
      </c>
      <c r="C157" s="32" t="s">
        <v>148</v>
      </c>
      <c r="D157" s="63" t="s">
        <v>365</v>
      </c>
      <c r="E157" s="32" t="s">
        <v>154</v>
      </c>
      <c r="F157" s="132">
        <f>3.5*1.5</f>
        <v>5.25</v>
      </c>
      <c r="G157" s="34">
        <v>93.71</v>
      </c>
      <c r="H157" s="34">
        <f t="shared" ref="H157:H158" si="59">ROUND(F157*G157,2)</f>
        <v>491.98</v>
      </c>
      <c r="I157" s="34">
        <f t="shared" ref="I157:I158" si="60">ROUND(H157*1.2735,2)</f>
        <v>626.54</v>
      </c>
      <c r="K157" s="155"/>
      <c r="L157" s="156"/>
      <c r="M157" s="155"/>
      <c r="N157" s="156"/>
      <c r="O157" s="155"/>
      <c r="P157" s="156"/>
      <c r="Q157" s="155"/>
      <c r="R157" s="156"/>
      <c r="S157" s="155"/>
      <c r="T157" s="156"/>
    </row>
    <row r="158" spans="1:20" ht="30.2" customHeight="1" x14ac:dyDescent="0.25">
      <c r="A158" s="32" t="s">
        <v>440</v>
      </c>
      <c r="B158" s="157" t="s">
        <v>367</v>
      </c>
      <c r="C158" s="32" t="s">
        <v>148</v>
      </c>
      <c r="D158" s="63" t="s">
        <v>368</v>
      </c>
      <c r="E158" s="32" t="s">
        <v>154</v>
      </c>
      <c r="F158" s="132">
        <f>1.5*0.25</f>
        <v>0.375</v>
      </c>
      <c r="G158" s="34">
        <v>127</v>
      </c>
      <c r="H158" s="34">
        <f t="shared" si="59"/>
        <v>47.63</v>
      </c>
      <c r="I158" s="34">
        <f t="shared" si="60"/>
        <v>60.66</v>
      </c>
      <c r="K158" s="155"/>
      <c r="L158" s="156"/>
      <c r="M158" s="155"/>
      <c r="N158" s="156"/>
      <c r="O158" s="155"/>
      <c r="P158" s="156"/>
      <c r="Q158" s="155"/>
      <c r="R158" s="156"/>
      <c r="S158" s="155"/>
      <c r="T158" s="156"/>
    </row>
    <row r="159" spans="1:20" ht="25.15" customHeight="1" x14ac:dyDescent="0.25">
      <c r="A159" s="205" t="s">
        <v>146</v>
      </c>
      <c r="B159" s="205"/>
      <c r="C159" s="205"/>
      <c r="D159" s="205"/>
      <c r="E159" s="205"/>
      <c r="F159" s="205"/>
      <c r="G159" s="205"/>
      <c r="H159" s="54">
        <f>SUM(H108:H158)</f>
        <v>67797.36</v>
      </c>
      <c r="I159" s="54">
        <f>SUM(I108:I158)</f>
        <v>86339.959999999992</v>
      </c>
      <c r="K159" s="155"/>
      <c r="L159" s="156"/>
      <c r="M159" s="155"/>
      <c r="N159" s="156"/>
      <c r="O159" s="155"/>
      <c r="P159" s="156"/>
      <c r="Q159" s="155"/>
      <c r="R159" s="156"/>
      <c r="S159" s="155"/>
      <c r="T159" s="156"/>
    </row>
    <row r="160" spans="1:20" s="42" customFormat="1" ht="12" customHeight="1" x14ac:dyDescent="0.25">
      <c r="A160" s="5"/>
      <c r="B160" s="5"/>
      <c r="C160" s="5"/>
      <c r="D160" s="5"/>
      <c r="E160" s="5"/>
      <c r="F160" s="5"/>
      <c r="G160" s="5"/>
      <c r="H160" s="5"/>
      <c r="I160" s="43"/>
      <c r="J160" s="39"/>
      <c r="K160" s="40"/>
      <c r="L160" s="41"/>
      <c r="M160" s="55"/>
      <c r="N160" s="56"/>
      <c r="O160" s="55"/>
      <c r="P160" s="56"/>
      <c r="Q160" s="55"/>
      <c r="R160" s="56"/>
      <c r="S160" s="55"/>
      <c r="T160" s="56"/>
    </row>
    <row r="161" spans="1:20" s="42" customFormat="1" ht="25.15" customHeight="1" x14ac:dyDescent="0.25">
      <c r="A161" s="173" t="s">
        <v>215</v>
      </c>
      <c r="B161" s="174"/>
      <c r="C161" s="174"/>
      <c r="D161" s="174"/>
      <c r="E161" s="174"/>
      <c r="F161" s="174"/>
      <c r="G161" s="174"/>
      <c r="H161" s="174"/>
      <c r="I161" s="175"/>
      <c r="J161" s="39"/>
      <c r="K161" s="40"/>
      <c r="L161" s="41"/>
      <c r="M161" s="55"/>
      <c r="N161" s="56"/>
      <c r="O161" s="55"/>
      <c r="P161" s="56"/>
      <c r="Q161" s="55"/>
      <c r="R161" s="56"/>
      <c r="S161" s="55"/>
      <c r="T161" s="56"/>
    </row>
    <row r="162" spans="1:20" s="42" customFormat="1" ht="25.15" customHeight="1" x14ac:dyDescent="0.25">
      <c r="A162" s="25" t="s">
        <v>274</v>
      </c>
      <c r="B162" s="25" t="s">
        <v>25</v>
      </c>
      <c r="C162" s="25" t="s">
        <v>26</v>
      </c>
      <c r="D162" s="26" t="s">
        <v>216</v>
      </c>
      <c r="E162" s="25" t="s">
        <v>28</v>
      </c>
      <c r="F162" s="25" t="s">
        <v>29</v>
      </c>
      <c r="G162" s="27" t="s">
        <v>18</v>
      </c>
      <c r="H162" s="28" t="s">
        <v>30</v>
      </c>
      <c r="I162" s="29" t="s">
        <v>30</v>
      </c>
      <c r="J162" s="39"/>
      <c r="K162" s="40"/>
      <c r="L162" s="41"/>
      <c r="M162" s="55"/>
      <c r="N162" s="56"/>
      <c r="O162" s="55"/>
      <c r="P162" s="56"/>
      <c r="Q162" s="55"/>
      <c r="R162" s="56"/>
      <c r="S162" s="55"/>
      <c r="T162" s="56"/>
    </row>
    <row r="163" spans="1:20" s="42" customFormat="1" ht="42" customHeight="1" x14ac:dyDescent="0.25">
      <c r="A163" s="32" t="s">
        <v>271</v>
      </c>
      <c r="B163" s="157" t="s">
        <v>217</v>
      </c>
      <c r="C163" s="158" t="s">
        <v>2</v>
      </c>
      <c r="D163" s="63" t="s">
        <v>218</v>
      </c>
      <c r="E163" s="50" t="s">
        <v>175</v>
      </c>
      <c r="F163" s="132">
        <v>2</v>
      </c>
      <c r="G163" s="34">
        <v>751.32</v>
      </c>
      <c r="H163" s="34">
        <f t="shared" ref="H163:H175" si="61">ROUND(F163*G163,2)</f>
        <v>1502.64</v>
      </c>
      <c r="I163" s="34">
        <f t="shared" ref="I163:I175" si="62">ROUND(H163*1.2735,2)</f>
        <v>1913.61</v>
      </c>
      <c r="J163" s="39"/>
      <c r="K163" s="40"/>
      <c r="L163" s="41"/>
      <c r="M163" s="55"/>
      <c r="N163" s="56"/>
      <c r="O163" s="55"/>
      <c r="P163" s="56"/>
      <c r="Q163" s="55"/>
      <c r="R163" s="56"/>
      <c r="S163" s="55"/>
      <c r="T163" s="56"/>
    </row>
    <row r="164" spans="1:20" s="42" customFormat="1" ht="30.2" customHeight="1" x14ac:dyDescent="0.25">
      <c r="A164" s="32" t="s">
        <v>275</v>
      </c>
      <c r="B164" s="157" t="s">
        <v>219</v>
      </c>
      <c r="C164" s="158" t="s">
        <v>2</v>
      </c>
      <c r="D164" s="63" t="s">
        <v>220</v>
      </c>
      <c r="E164" s="50" t="s">
        <v>175</v>
      </c>
      <c r="F164" s="132">
        <v>2</v>
      </c>
      <c r="G164" s="34">
        <v>143.21</v>
      </c>
      <c r="H164" s="34">
        <f t="shared" si="61"/>
        <v>286.42</v>
      </c>
      <c r="I164" s="34">
        <f t="shared" si="62"/>
        <v>364.76</v>
      </c>
      <c r="J164" s="39"/>
      <c r="K164" s="40"/>
      <c r="L164" s="41"/>
      <c r="M164" s="55"/>
      <c r="N164" s="56"/>
      <c r="O164" s="55"/>
      <c r="P164" s="56"/>
      <c r="Q164" s="55"/>
      <c r="R164" s="56"/>
      <c r="S164" s="55"/>
      <c r="T164" s="56"/>
    </row>
    <row r="165" spans="1:20" s="42" customFormat="1" ht="25.15" customHeight="1" x14ac:dyDescent="0.25">
      <c r="A165" s="32" t="s">
        <v>278</v>
      </c>
      <c r="B165" s="157" t="s">
        <v>221</v>
      </c>
      <c r="C165" s="158" t="s">
        <v>2</v>
      </c>
      <c r="D165" s="63" t="s">
        <v>222</v>
      </c>
      <c r="E165" s="50" t="s">
        <v>175</v>
      </c>
      <c r="F165" s="132">
        <v>2</v>
      </c>
      <c r="G165" s="34">
        <v>47.85</v>
      </c>
      <c r="H165" s="34">
        <f t="shared" si="61"/>
        <v>95.7</v>
      </c>
      <c r="I165" s="34">
        <f t="shared" si="62"/>
        <v>121.87</v>
      </c>
      <c r="J165" s="39"/>
      <c r="K165" s="40"/>
      <c r="L165" s="41"/>
      <c r="M165" s="55"/>
      <c r="N165" s="56"/>
      <c r="O165" s="55"/>
      <c r="P165" s="56"/>
      <c r="Q165" s="55"/>
      <c r="R165" s="56"/>
      <c r="S165" s="55"/>
      <c r="T165" s="56"/>
    </row>
    <row r="166" spans="1:20" s="42" customFormat="1" ht="25.15" customHeight="1" x14ac:dyDescent="0.25">
      <c r="A166" s="32" t="s">
        <v>279</v>
      </c>
      <c r="B166" s="157" t="s">
        <v>223</v>
      </c>
      <c r="C166" s="158" t="s">
        <v>148</v>
      </c>
      <c r="D166" s="63" t="s">
        <v>224</v>
      </c>
      <c r="E166" s="50" t="s">
        <v>175</v>
      </c>
      <c r="F166" s="132">
        <v>2</v>
      </c>
      <c r="G166" s="34">
        <v>80.94</v>
      </c>
      <c r="H166" s="34">
        <f t="shared" si="61"/>
        <v>161.88</v>
      </c>
      <c r="I166" s="34">
        <f t="shared" si="62"/>
        <v>206.15</v>
      </c>
      <c r="J166" s="39"/>
      <c r="K166" s="40"/>
      <c r="L166" s="41"/>
      <c r="M166" s="55"/>
      <c r="N166" s="56"/>
      <c r="O166" s="55"/>
      <c r="P166" s="56"/>
      <c r="Q166" s="55"/>
      <c r="R166" s="56"/>
      <c r="S166" s="55"/>
      <c r="T166" s="56"/>
    </row>
    <row r="167" spans="1:20" s="42" customFormat="1" ht="25.15" customHeight="1" x14ac:dyDescent="0.25">
      <c r="A167" s="32" t="s">
        <v>280</v>
      </c>
      <c r="B167" s="157" t="s">
        <v>225</v>
      </c>
      <c r="C167" s="158" t="s">
        <v>148</v>
      </c>
      <c r="D167" s="63" t="s">
        <v>226</v>
      </c>
      <c r="E167" s="50" t="s">
        <v>175</v>
      </c>
      <c r="F167" s="132">
        <v>2</v>
      </c>
      <c r="G167" s="34">
        <v>78.959999999999994</v>
      </c>
      <c r="H167" s="34">
        <f t="shared" si="61"/>
        <v>157.91999999999999</v>
      </c>
      <c r="I167" s="34">
        <f t="shared" si="62"/>
        <v>201.11</v>
      </c>
      <c r="J167" s="39"/>
      <c r="K167" s="40"/>
      <c r="L167" s="41"/>
      <c r="M167" s="55"/>
      <c r="N167" s="56"/>
      <c r="O167" s="55"/>
      <c r="P167" s="56"/>
      <c r="Q167" s="55"/>
      <c r="R167" s="56"/>
      <c r="S167" s="55"/>
      <c r="T167" s="56"/>
    </row>
    <row r="168" spans="1:20" s="42" customFormat="1" ht="25.15" customHeight="1" x14ac:dyDescent="0.25">
      <c r="A168" s="32" t="s">
        <v>277</v>
      </c>
      <c r="B168" s="157" t="s">
        <v>227</v>
      </c>
      <c r="C168" s="158" t="s">
        <v>148</v>
      </c>
      <c r="D168" s="63" t="s">
        <v>228</v>
      </c>
      <c r="E168" s="50" t="s">
        <v>175</v>
      </c>
      <c r="F168" s="132">
        <v>2</v>
      </c>
      <c r="G168" s="34">
        <v>64.12</v>
      </c>
      <c r="H168" s="34">
        <f t="shared" si="61"/>
        <v>128.24</v>
      </c>
      <c r="I168" s="34">
        <f t="shared" si="62"/>
        <v>163.31</v>
      </c>
      <c r="J168" s="39"/>
      <c r="K168" s="40"/>
      <c r="L168" s="41"/>
      <c r="M168" s="55"/>
      <c r="N168" s="56"/>
      <c r="O168" s="55"/>
      <c r="P168" s="56"/>
      <c r="Q168" s="55"/>
      <c r="R168" s="56"/>
      <c r="S168" s="55"/>
      <c r="T168" s="56"/>
    </row>
    <row r="169" spans="1:20" s="42" customFormat="1" ht="30.2" customHeight="1" x14ac:dyDescent="0.25">
      <c r="A169" s="32" t="s">
        <v>281</v>
      </c>
      <c r="B169" s="157" t="s">
        <v>229</v>
      </c>
      <c r="C169" s="158" t="s">
        <v>2</v>
      </c>
      <c r="D169" s="63" t="s">
        <v>376</v>
      </c>
      <c r="E169" s="50" t="s">
        <v>175</v>
      </c>
      <c r="F169" s="132">
        <v>4</v>
      </c>
      <c r="G169" s="34">
        <v>357.71</v>
      </c>
      <c r="H169" s="34">
        <f t="shared" si="61"/>
        <v>1430.84</v>
      </c>
      <c r="I169" s="34">
        <f t="shared" si="62"/>
        <v>1822.17</v>
      </c>
      <c r="J169" s="39"/>
      <c r="K169" s="40"/>
      <c r="L169" s="41"/>
      <c r="M169" s="55"/>
      <c r="N169" s="56"/>
      <c r="O169" s="55"/>
      <c r="P169" s="56"/>
      <c r="Q169" s="55"/>
      <c r="R169" s="56"/>
      <c r="S169" s="55"/>
      <c r="T169" s="56"/>
    </row>
    <row r="170" spans="1:20" s="42" customFormat="1" ht="30.2" customHeight="1" x14ac:dyDescent="0.25">
      <c r="A170" s="32" t="s">
        <v>282</v>
      </c>
      <c r="B170" s="157" t="s">
        <v>230</v>
      </c>
      <c r="C170" s="158" t="s">
        <v>2</v>
      </c>
      <c r="D170" s="63" t="s">
        <v>377</v>
      </c>
      <c r="E170" s="50" t="s">
        <v>175</v>
      </c>
      <c r="F170" s="132">
        <v>2</v>
      </c>
      <c r="G170" s="34">
        <v>344.04</v>
      </c>
      <c r="H170" s="34">
        <f t="shared" si="61"/>
        <v>688.08</v>
      </c>
      <c r="I170" s="34">
        <f t="shared" si="62"/>
        <v>876.27</v>
      </c>
      <c r="J170" s="39"/>
      <c r="K170" s="40"/>
      <c r="L170" s="41"/>
      <c r="M170" s="55"/>
      <c r="N170" s="56"/>
      <c r="O170" s="55"/>
      <c r="P170" s="56"/>
      <c r="Q170" s="55"/>
      <c r="R170" s="56"/>
      <c r="S170" s="55"/>
      <c r="T170" s="56"/>
    </row>
    <row r="171" spans="1:20" s="42" customFormat="1" ht="30.2" customHeight="1" x14ac:dyDescent="0.25">
      <c r="A171" s="32" t="s">
        <v>276</v>
      </c>
      <c r="B171" s="157" t="s">
        <v>231</v>
      </c>
      <c r="C171" s="158" t="s">
        <v>148</v>
      </c>
      <c r="D171" s="63" t="s">
        <v>232</v>
      </c>
      <c r="E171" s="50" t="s">
        <v>175</v>
      </c>
      <c r="F171" s="132">
        <v>2</v>
      </c>
      <c r="G171" s="34">
        <v>150.43</v>
      </c>
      <c r="H171" s="34">
        <f t="shared" si="61"/>
        <v>300.86</v>
      </c>
      <c r="I171" s="34">
        <f t="shared" si="62"/>
        <v>383.15</v>
      </c>
      <c r="J171" s="39"/>
      <c r="K171" s="40"/>
      <c r="L171" s="41"/>
      <c r="M171" s="55"/>
      <c r="N171" s="56"/>
      <c r="O171" s="55"/>
      <c r="P171" s="56"/>
      <c r="Q171" s="55"/>
      <c r="R171" s="56"/>
      <c r="S171" s="55"/>
      <c r="T171" s="56"/>
    </row>
    <row r="172" spans="1:20" s="42" customFormat="1" ht="30.2" customHeight="1" x14ac:dyDescent="0.25">
      <c r="A172" s="32" t="s">
        <v>283</v>
      </c>
      <c r="B172" s="157" t="s">
        <v>233</v>
      </c>
      <c r="C172" s="158" t="s">
        <v>148</v>
      </c>
      <c r="D172" s="63" t="s">
        <v>234</v>
      </c>
      <c r="E172" s="50" t="s">
        <v>175</v>
      </c>
      <c r="F172" s="132">
        <v>4</v>
      </c>
      <c r="G172" s="34">
        <v>171.37</v>
      </c>
      <c r="H172" s="34">
        <f t="shared" si="61"/>
        <v>685.48</v>
      </c>
      <c r="I172" s="34">
        <f t="shared" si="62"/>
        <v>872.96</v>
      </c>
      <c r="J172" s="39"/>
      <c r="K172" s="40"/>
      <c r="L172" s="41"/>
      <c r="M172" s="55"/>
      <c r="N172" s="56"/>
      <c r="O172" s="55"/>
      <c r="P172" s="56"/>
      <c r="Q172" s="55"/>
      <c r="R172" s="56"/>
      <c r="S172" s="55"/>
      <c r="T172" s="56"/>
    </row>
    <row r="173" spans="1:20" s="42" customFormat="1" ht="30.2" customHeight="1" x14ac:dyDescent="0.25">
      <c r="A173" s="32" t="s">
        <v>284</v>
      </c>
      <c r="B173" s="157" t="s">
        <v>450</v>
      </c>
      <c r="C173" s="158" t="s">
        <v>148</v>
      </c>
      <c r="D173" s="63" t="s">
        <v>451</v>
      </c>
      <c r="E173" s="50" t="s">
        <v>154</v>
      </c>
      <c r="F173" s="132">
        <f>2*0.8*0.5</f>
        <v>0.8</v>
      </c>
      <c r="G173" s="34">
        <v>715.97</v>
      </c>
      <c r="H173" s="34">
        <f t="shared" ref="H173" si="63">ROUND(F173*G173,2)</f>
        <v>572.78</v>
      </c>
      <c r="I173" s="34">
        <f t="shared" ref="I173" si="64">ROUND(H173*1.2735,2)</f>
        <v>729.44</v>
      </c>
      <c r="J173" s="39"/>
      <c r="K173" s="40"/>
      <c r="L173" s="41"/>
      <c r="M173" s="55"/>
      <c r="N173" s="56"/>
      <c r="O173" s="55"/>
      <c r="P173" s="56"/>
      <c r="Q173" s="55"/>
      <c r="R173" s="56"/>
      <c r="S173" s="55"/>
      <c r="T173" s="56"/>
    </row>
    <row r="174" spans="1:20" s="42" customFormat="1" ht="30.2" customHeight="1" x14ac:dyDescent="0.25">
      <c r="A174" s="32" t="s">
        <v>285</v>
      </c>
      <c r="B174" s="157" t="s">
        <v>235</v>
      </c>
      <c r="C174" s="158" t="s">
        <v>148</v>
      </c>
      <c r="D174" s="63" t="s">
        <v>236</v>
      </c>
      <c r="E174" s="50" t="s">
        <v>175</v>
      </c>
      <c r="F174" s="132">
        <v>2</v>
      </c>
      <c r="G174" s="34">
        <v>664.45</v>
      </c>
      <c r="H174" s="34">
        <f t="shared" si="61"/>
        <v>1328.9</v>
      </c>
      <c r="I174" s="34">
        <f t="shared" si="62"/>
        <v>1692.35</v>
      </c>
      <c r="J174" s="39"/>
      <c r="K174" s="40"/>
      <c r="L174" s="41"/>
      <c r="M174" s="55"/>
      <c r="N174" s="56"/>
      <c r="O174" s="55"/>
      <c r="P174" s="56"/>
      <c r="Q174" s="55"/>
      <c r="R174" s="56"/>
      <c r="S174" s="55"/>
      <c r="T174" s="56"/>
    </row>
    <row r="175" spans="1:20" s="42" customFormat="1" ht="25.15" customHeight="1" x14ac:dyDescent="0.25">
      <c r="A175" s="32" t="s">
        <v>449</v>
      </c>
      <c r="B175" s="157" t="s">
        <v>237</v>
      </c>
      <c r="C175" s="158" t="s">
        <v>148</v>
      </c>
      <c r="D175" s="63" t="s">
        <v>238</v>
      </c>
      <c r="E175" s="50" t="s">
        <v>175</v>
      </c>
      <c r="F175" s="132">
        <v>2</v>
      </c>
      <c r="G175" s="34">
        <v>1546.01</v>
      </c>
      <c r="H175" s="34">
        <f t="shared" si="61"/>
        <v>3092.02</v>
      </c>
      <c r="I175" s="34">
        <f t="shared" si="62"/>
        <v>3937.69</v>
      </c>
      <c r="J175" s="39"/>
      <c r="K175" s="40"/>
      <c r="L175" s="41"/>
      <c r="M175" s="55"/>
      <c r="N175" s="56"/>
      <c r="O175" s="55"/>
      <c r="P175" s="56"/>
      <c r="Q175" s="55"/>
      <c r="R175" s="56"/>
      <c r="S175" s="55"/>
      <c r="T175" s="56"/>
    </row>
    <row r="176" spans="1:20" s="42" customFormat="1" ht="25.15" customHeight="1" x14ac:dyDescent="0.25">
      <c r="A176" s="178" t="s">
        <v>273</v>
      </c>
      <c r="B176" s="179"/>
      <c r="C176" s="179"/>
      <c r="D176" s="179"/>
      <c r="E176" s="179"/>
      <c r="F176" s="179"/>
      <c r="G176" s="180"/>
      <c r="H176" s="54">
        <f>SUM(H163:H175)</f>
        <v>10431.76</v>
      </c>
      <c r="I176" s="54">
        <f>SUM(I163:I175)</f>
        <v>13284.84</v>
      </c>
      <c r="J176" s="39"/>
      <c r="K176" s="40"/>
      <c r="L176" s="41"/>
      <c r="M176" s="55"/>
      <c r="N176" s="56"/>
      <c r="O176" s="55"/>
      <c r="P176" s="56"/>
      <c r="Q176" s="55"/>
      <c r="R176" s="56"/>
      <c r="S176" s="55"/>
      <c r="T176" s="56"/>
    </row>
    <row r="177" spans="1:24" s="42" customFormat="1" ht="12" customHeight="1" x14ac:dyDescent="0.25">
      <c r="A177" s="5"/>
      <c r="B177" s="5"/>
      <c r="C177" s="5"/>
      <c r="D177" s="5"/>
      <c r="E177" s="5"/>
      <c r="F177" s="5"/>
      <c r="G177" s="5"/>
      <c r="H177" s="5"/>
      <c r="I177" s="43"/>
      <c r="J177" s="39"/>
      <c r="K177" s="40"/>
      <c r="L177" s="41"/>
      <c r="M177" s="55"/>
      <c r="N177" s="56"/>
      <c r="O177" s="55"/>
      <c r="P177" s="56"/>
      <c r="Q177" s="55"/>
      <c r="R177" s="56"/>
      <c r="S177" s="55"/>
      <c r="T177" s="56"/>
    </row>
    <row r="178" spans="1:24" s="5" customFormat="1" ht="25.15" customHeight="1" x14ac:dyDescent="0.25">
      <c r="A178" s="173" t="s">
        <v>214</v>
      </c>
      <c r="B178" s="174"/>
      <c r="C178" s="174"/>
      <c r="D178" s="174"/>
      <c r="E178" s="174"/>
      <c r="F178" s="174"/>
      <c r="G178" s="174"/>
      <c r="H178" s="174"/>
      <c r="I178" s="175"/>
      <c r="K178" s="35"/>
      <c r="L178" s="37"/>
      <c r="M178" s="57"/>
      <c r="N178" s="58"/>
      <c r="O178" s="59"/>
      <c r="P178" s="37"/>
      <c r="Q178" s="59"/>
      <c r="R178" s="37"/>
      <c r="S178" s="59"/>
      <c r="T178" s="62"/>
    </row>
    <row r="179" spans="1:24" ht="25.15" customHeight="1" x14ac:dyDescent="0.25">
      <c r="A179" s="25" t="s">
        <v>239</v>
      </c>
      <c r="B179" s="25" t="s">
        <v>25</v>
      </c>
      <c r="C179" s="25" t="s">
        <v>26</v>
      </c>
      <c r="D179" s="26" t="s">
        <v>77</v>
      </c>
      <c r="E179" s="25" t="s">
        <v>28</v>
      </c>
      <c r="F179" s="25" t="s">
        <v>29</v>
      </c>
      <c r="G179" s="27" t="s">
        <v>18</v>
      </c>
      <c r="H179" s="28" t="s">
        <v>30</v>
      </c>
      <c r="I179" s="29" t="s">
        <v>30</v>
      </c>
      <c r="K179" s="176" t="s">
        <v>23</v>
      </c>
      <c r="L179" s="176"/>
      <c r="M179" s="176" t="s">
        <v>23</v>
      </c>
      <c r="N179" s="176"/>
      <c r="O179" s="176" t="s">
        <v>23</v>
      </c>
      <c r="P179" s="176"/>
      <c r="Q179" s="176" t="s">
        <v>23</v>
      </c>
      <c r="R179" s="176"/>
      <c r="S179" s="181" t="s">
        <v>23</v>
      </c>
      <c r="T179" s="182"/>
    </row>
    <row r="180" spans="1:24" ht="25.15" customHeight="1" x14ac:dyDescent="0.25">
      <c r="A180" s="32" t="s">
        <v>286</v>
      </c>
      <c r="B180" s="32" t="s">
        <v>78</v>
      </c>
      <c r="C180" s="32" t="s">
        <v>148</v>
      </c>
      <c r="D180" s="63" t="s">
        <v>79</v>
      </c>
      <c r="E180" s="32" t="s">
        <v>154</v>
      </c>
      <c r="F180" s="132">
        <f>ROUND((20+2)*(10+2)+(14*3),2)</f>
        <v>306</v>
      </c>
      <c r="G180" s="34">
        <v>12.35</v>
      </c>
      <c r="H180" s="34">
        <f>ROUND(F180*G180,2)</f>
        <v>3779.1</v>
      </c>
      <c r="I180" s="34">
        <f>ROUND(H180*1.2735,2)</f>
        <v>4812.68</v>
      </c>
      <c r="K180" s="48"/>
      <c r="L180" s="49"/>
      <c r="M180" s="48"/>
      <c r="N180" s="49"/>
      <c r="O180" s="48"/>
      <c r="P180" s="49"/>
      <c r="Q180" s="48"/>
      <c r="R180" s="49"/>
      <c r="S180" s="48"/>
      <c r="T180" s="49"/>
    </row>
    <row r="181" spans="1:24" ht="25.15" customHeight="1" x14ac:dyDescent="0.25">
      <c r="A181" s="178" t="s">
        <v>240</v>
      </c>
      <c r="B181" s="179"/>
      <c r="C181" s="179"/>
      <c r="D181" s="179"/>
      <c r="E181" s="179"/>
      <c r="F181" s="179"/>
      <c r="G181" s="180"/>
      <c r="H181" s="54">
        <f>SUM(H180:H180)</f>
        <v>3779.1</v>
      </c>
      <c r="I181" s="38">
        <f>SUM(I180:I180)</f>
        <v>4812.68</v>
      </c>
      <c r="K181" s="48">
        <f>(L181/100)*$I180</f>
        <v>0</v>
      </c>
      <c r="L181" s="49"/>
      <c r="M181" s="48">
        <f>(N181/100)*$I180</f>
        <v>0</v>
      </c>
      <c r="N181" s="49"/>
      <c r="O181" s="48">
        <f>(P181/100)*$I180</f>
        <v>0</v>
      </c>
      <c r="P181" s="49"/>
      <c r="Q181" s="48">
        <f>(R181/100)*$I180</f>
        <v>0</v>
      </c>
      <c r="R181" s="49"/>
      <c r="S181" s="48">
        <f>(T181/100)*$I180</f>
        <v>0</v>
      </c>
      <c r="T181" s="49"/>
    </row>
    <row r="182" spans="1:24" s="42" customFormat="1" ht="12" customHeight="1" x14ac:dyDescent="0.25">
      <c r="A182" s="64"/>
      <c r="B182" s="64"/>
      <c r="C182" s="64"/>
      <c r="D182" s="64"/>
      <c r="E182" s="64"/>
      <c r="F182" s="64"/>
      <c r="G182" s="65"/>
      <c r="H182" s="65"/>
      <c r="I182" s="65"/>
      <c r="J182" s="39"/>
      <c r="K182" s="40" t="e">
        <f>SUM(#REF!)</f>
        <v>#REF!</v>
      </c>
      <c r="L182" s="41" t="e">
        <f>(SUM(#REF!)/$I$90)</f>
        <v>#REF!</v>
      </c>
      <c r="M182" s="55" t="e">
        <f>SUM(#REF!)</f>
        <v>#REF!</v>
      </c>
      <c r="N182" s="56" t="e">
        <f>(SUM(#REF!)/$I$90)</f>
        <v>#REF!</v>
      </c>
      <c r="O182" s="55" t="e">
        <f>SUM(#REF!)</f>
        <v>#REF!</v>
      </c>
      <c r="P182" s="56" t="e">
        <f>(SUM(#REF!)/$I$90)</f>
        <v>#REF!</v>
      </c>
      <c r="Q182" s="55" t="e">
        <f>SUM(#REF!)</f>
        <v>#REF!</v>
      </c>
      <c r="R182" s="56" t="e">
        <f>(SUM(#REF!)/$I$90)</f>
        <v>#REF!</v>
      </c>
      <c r="S182" s="55" t="e">
        <f>SUM(#REF!)</f>
        <v>#REF!</v>
      </c>
      <c r="T182" s="56" t="e">
        <f>(SUM(#REF!)/$I$90)</f>
        <v>#REF!</v>
      </c>
    </row>
    <row r="183" spans="1:24" s="42" customFormat="1" ht="25.15" customHeight="1" x14ac:dyDescent="0.25">
      <c r="A183" s="183" t="s">
        <v>80</v>
      </c>
      <c r="B183" s="183"/>
      <c r="C183" s="183"/>
      <c r="D183" s="183"/>
      <c r="E183" s="183"/>
      <c r="F183" s="184"/>
      <c r="G183" s="185">
        <f>H181+H176+H159+H104+H90+H79+H72+H45+H22</f>
        <v>429140.99000000005</v>
      </c>
      <c r="H183" s="186"/>
      <c r="I183" s="187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</row>
    <row r="184" spans="1:24" s="42" customFormat="1" ht="25.15" customHeight="1" x14ac:dyDescent="0.25">
      <c r="A184" s="189" t="s">
        <v>82</v>
      </c>
      <c r="B184" s="190"/>
      <c r="C184" s="190"/>
      <c r="D184" s="190"/>
      <c r="E184" s="190"/>
      <c r="F184" s="67">
        <v>0.27350000000000002</v>
      </c>
      <c r="G184" s="191">
        <f>ROUND((I181+I176+I159+I104+I90+I79+I72+I45+I22)-G183,2)</f>
        <v>117370.07</v>
      </c>
      <c r="H184" s="192"/>
      <c r="I184" s="193"/>
      <c r="J184" s="5"/>
      <c r="K184" s="188" t="s">
        <v>81</v>
      </c>
      <c r="L184" s="188"/>
      <c r="M184" s="188" t="s">
        <v>81</v>
      </c>
      <c r="N184" s="188"/>
      <c r="O184" s="188" t="s">
        <v>81</v>
      </c>
      <c r="P184" s="188"/>
      <c r="Q184" s="188" t="s">
        <v>81</v>
      </c>
      <c r="R184" s="188"/>
      <c r="S184" s="188" t="s">
        <v>81</v>
      </c>
      <c r="T184" s="188"/>
      <c r="U184" s="5"/>
      <c r="V184" s="66"/>
    </row>
    <row r="185" spans="1:24" s="42" customFormat="1" ht="25.15" customHeight="1" x14ac:dyDescent="0.25">
      <c r="A185" s="197" t="s">
        <v>83</v>
      </c>
      <c r="B185" s="197"/>
      <c r="C185" s="197"/>
      <c r="D185" s="197"/>
      <c r="E185" s="197"/>
      <c r="F185" s="197"/>
      <c r="G185" s="198">
        <f>G183+G184</f>
        <v>546511.06000000006</v>
      </c>
      <c r="H185" s="198"/>
      <c r="I185" s="198"/>
      <c r="J185" s="5"/>
      <c r="K185" s="194">
        <f>L14</f>
        <v>1</v>
      </c>
      <c r="L185" s="195"/>
      <c r="M185" s="194">
        <f>N14</f>
        <v>2</v>
      </c>
      <c r="N185" s="195"/>
      <c r="O185" s="194">
        <f>P14</f>
        <v>3</v>
      </c>
      <c r="P185" s="195"/>
      <c r="Q185" s="194">
        <f>R14</f>
        <v>4</v>
      </c>
      <c r="R185" s="195"/>
      <c r="S185" s="194">
        <f>T14</f>
        <v>5</v>
      </c>
      <c r="T185" s="195"/>
      <c r="U185" s="5"/>
      <c r="V185" s="66"/>
      <c r="W185" s="148"/>
      <c r="X185" s="66"/>
    </row>
    <row r="186" spans="1:24" s="42" customFormat="1" ht="18" customHeight="1" x14ac:dyDescent="0.25">
      <c r="A186" s="1"/>
      <c r="B186" s="1"/>
      <c r="C186" s="1"/>
      <c r="D186" s="1"/>
      <c r="E186" s="1"/>
      <c r="F186" s="1"/>
      <c r="G186" s="2"/>
      <c r="H186" s="3"/>
      <c r="I186" s="4"/>
      <c r="J186" s="5"/>
      <c r="K186" s="68" t="e">
        <f>SUM(K22:K74)/2</f>
        <v>#REF!</v>
      </c>
      <c r="L186" s="69" t="e">
        <f>((SUM(K22:K74)/2)/$G$185)</f>
        <v>#REF!</v>
      </c>
      <c r="M186" s="68" t="e">
        <f>SUM(M22:M74)/2</f>
        <v>#REF!</v>
      </c>
      <c r="N186" s="69" t="e">
        <f>((SUM(M22:M74)/2)/$G$185)</f>
        <v>#REF!</v>
      </c>
      <c r="O186" s="68" t="e">
        <f>SUM(O22:O74)/2</f>
        <v>#REF!</v>
      </c>
      <c r="P186" s="69" t="e">
        <f>((SUM(O22:O74)/2)/$G$185)</f>
        <v>#REF!</v>
      </c>
      <c r="Q186" s="68" t="e">
        <f>SUM(Q22:Q74)/2</f>
        <v>#REF!</v>
      </c>
      <c r="R186" s="69" t="e">
        <f>((SUM(Q22:Q74)/2)/$G$185)</f>
        <v>#REF!</v>
      </c>
      <c r="S186" s="68" t="e">
        <f>SUM(S22:S74)/2</f>
        <v>#REF!</v>
      </c>
      <c r="T186" s="69" t="e">
        <f>((SUM(S22:S74)/2)/$G$185)</f>
        <v>#REF!</v>
      </c>
      <c r="U186" s="5"/>
      <c r="W186" s="149"/>
    </row>
    <row r="187" spans="1:24" ht="25.15" customHeight="1" x14ac:dyDescent="0.2">
      <c r="A187" s="199" t="s">
        <v>473</v>
      </c>
      <c r="B187" s="199"/>
      <c r="C187" s="199"/>
      <c r="D187" s="199"/>
      <c r="E187" s="199"/>
      <c r="F187" s="199"/>
      <c r="G187" s="199"/>
      <c r="H187" s="199"/>
      <c r="I187" s="199"/>
    </row>
    <row r="188" spans="1:24" ht="21" customHeight="1" x14ac:dyDescent="0.2"/>
    <row r="189" spans="1:24" ht="13.5" customHeight="1" x14ac:dyDescent="0.2"/>
    <row r="190" spans="1:24" ht="13.5" customHeight="1" x14ac:dyDescent="0.2"/>
    <row r="191" spans="1:24" ht="13.5" customHeight="1" x14ac:dyDescent="0.2"/>
    <row r="192" spans="1:24" ht="20.45" customHeight="1" x14ac:dyDescent="0.2">
      <c r="A192" s="200" t="s">
        <v>469</v>
      </c>
      <c r="B192" s="200"/>
      <c r="C192" s="200"/>
      <c r="D192" s="200"/>
      <c r="E192" s="200"/>
      <c r="F192" s="200"/>
      <c r="G192" s="200"/>
      <c r="H192" s="200"/>
      <c r="I192" s="200"/>
    </row>
    <row r="193" spans="1:22" ht="22.15" customHeight="1" x14ac:dyDescent="0.2">
      <c r="A193" s="201" t="s">
        <v>84</v>
      </c>
      <c r="B193" s="201"/>
      <c r="C193" s="201"/>
      <c r="D193" s="201"/>
      <c r="E193" s="201"/>
      <c r="F193" s="201"/>
      <c r="G193" s="201"/>
      <c r="H193" s="201"/>
      <c r="I193" s="201"/>
    </row>
    <row r="194" spans="1:22" ht="22.15" customHeight="1" x14ac:dyDescent="0.2">
      <c r="A194" s="72"/>
      <c r="B194" s="72"/>
      <c r="C194" s="72"/>
      <c r="D194" s="72"/>
      <c r="E194" s="72"/>
      <c r="F194" s="72"/>
    </row>
    <row r="195" spans="1:22" s="5" customFormat="1" ht="12" customHeight="1" x14ac:dyDescent="0.2">
      <c r="A195" s="72"/>
      <c r="B195" s="72"/>
      <c r="C195" s="72"/>
      <c r="D195" s="72"/>
      <c r="E195" s="72"/>
      <c r="F195" s="72"/>
      <c r="G195" s="2"/>
      <c r="H195" s="3"/>
      <c r="I195" s="4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3"/>
      <c r="V195" s="3"/>
    </row>
    <row r="196" spans="1:22" s="5" customFormat="1" ht="12" customHeight="1" x14ac:dyDescent="0.2">
      <c r="A196" s="72"/>
      <c r="B196" s="72"/>
      <c r="C196" s="72"/>
      <c r="D196" s="72"/>
      <c r="E196" s="72"/>
      <c r="F196" s="72"/>
      <c r="G196" s="2"/>
      <c r="H196" s="3"/>
      <c r="I196" s="4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3"/>
      <c r="V196" s="3"/>
    </row>
    <row r="197" spans="1:22" s="5" customFormat="1" ht="12" customHeight="1" x14ac:dyDescent="0.2">
      <c r="A197" s="72"/>
      <c r="B197" s="72"/>
      <c r="C197" s="72"/>
      <c r="D197" s="139"/>
      <c r="E197" s="72"/>
      <c r="F197" s="72"/>
      <c r="G197" s="2"/>
      <c r="H197" s="3"/>
      <c r="I197" s="4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3"/>
      <c r="V197" s="3"/>
    </row>
    <row r="198" spans="1:22" s="5" customFormat="1" ht="12" customHeight="1" x14ac:dyDescent="0.2">
      <c r="A198" s="72"/>
      <c r="B198" s="72"/>
      <c r="C198" s="72"/>
      <c r="D198" s="140"/>
      <c r="E198" s="72"/>
      <c r="F198" s="72"/>
      <c r="G198" s="2"/>
      <c r="H198" s="3"/>
      <c r="I198" s="4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3"/>
      <c r="V198" s="3"/>
    </row>
    <row r="199" spans="1:22" s="5" customFormat="1" ht="12" customHeight="1" x14ac:dyDescent="0.2">
      <c r="A199" s="141"/>
      <c r="B199" s="142"/>
      <c r="C199" s="143"/>
      <c r="D199" s="141"/>
      <c r="E199" s="202"/>
      <c r="F199" s="202"/>
      <c r="G199" s="202"/>
      <c r="H199" s="202"/>
      <c r="I199" s="202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3"/>
      <c r="V199" s="3"/>
    </row>
    <row r="200" spans="1:22" s="5" customFormat="1" ht="22.15" customHeight="1" x14ac:dyDescent="0.2">
      <c r="A200" s="144"/>
      <c r="B200" s="145"/>
      <c r="C200" s="145"/>
      <c r="D200" s="145"/>
      <c r="E200" s="203"/>
      <c r="F200" s="203"/>
      <c r="G200" s="203"/>
      <c r="H200" s="203"/>
      <c r="I200" s="203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3"/>
      <c r="V200" s="3"/>
    </row>
    <row r="201" spans="1:22" s="5" customFormat="1" ht="22.15" customHeight="1" x14ac:dyDescent="0.2">
      <c r="A201" s="144"/>
      <c r="B201" s="145"/>
      <c r="C201" s="145"/>
      <c r="D201" s="145"/>
      <c r="E201" s="146"/>
      <c r="F201" s="146"/>
      <c r="G201" s="146"/>
      <c r="H201" s="146"/>
      <c r="I201" s="14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3"/>
      <c r="V201" s="3"/>
    </row>
    <row r="202" spans="1:22" s="5" customFormat="1" ht="22.15" customHeight="1" x14ac:dyDescent="0.2">
      <c r="A202" s="144"/>
      <c r="B202" s="145"/>
      <c r="C202" s="145"/>
      <c r="D202" s="145"/>
      <c r="E202" s="146"/>
      <c r="F202" s="146"/>
      <c r="G202" s="146"/>
      <c r="H202" s="146"/>
      <c r="I202" s="14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3"/>
      <c r="V202" s="3"/>
    </row>
    <row r="203" spans="1:22" s="5" customFormat="1" ht="22.15" customHeight="1" x14ac:dyDescent="0.2">
      <c r="A203" s="73"/>
      <c r="B203" s="74"/>
      <c r="C203" s="75"/>
      <c r="D203" s="75"/>
      <c r="E203" s="196"/>
      <c r="F203" s="196"/>
      <c r="G203" s="196"/>
      <c r="H203" s="196"/>
      <c r="I203" s="19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3"/>
      <c r="V203" s="3"/>
    </row>
    <row r="204" spans="1:22" s="5" customFormat="1" ht="22.15" customHeight="1" x14ac:dyDescent="0.2">
      <c r="A204" s="73"/>
      <c r="B204" s="76"/>
      <c r="C204" s="76"/>
      <c r="D204" s="76"/>
      <c r="E204" s="73"/>
      <c r="F204" s="73"/>
      <c r="G204" s="73"/>
      <c r="H204" s="73"/>
      <c r="I204" s="147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3"/>
      <c r="V204" s="3"/>
    </row>
    <row r="205" spans="1:22" s="5" customFormat="1" ht="21.75" customHeight="1" x14ac:dyDescent="0.2">
      <c r="A205" s="1"/>
      <c r="B205" s="1"/>
      <c r="C205" s="1"/>
      <c r="D205" s="1"/>
      <c r="E205" s="1"/>
      <c r="F205" s="72"/>
      <c r="G205" s="2"/>
      <c r="H205" s="3"/>
      <c r="I205" s="4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3"/>
      <c r="V205" s="3"/>
    </row>
    <row r="206" spans="1:22" s="5" customFormat="1" ht="22.15" customHeight="1" x14ac:dyDescent="0.2">
      <c r="A206" s="141"/>
      <c r="B206" s="142"/>
      <c r="C206" s="143"/>
      <c r="D206" s="141"/>
      <c r="E206" s="202"/>
      <c r="F206" s="202"/>
      <c r="G206" s="202"/>
      <c r="H206" s="202"/>
      <c r="I206" s="202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3"/>
      <c r="V206" s="3"/>
    </row>
    <row r="207" spans="1:22" s="5" customFormat="1" ht="22.15" customHeight="1" x14ac:dyDescent="0.2">
      <c r="A207" s="144"/>
      <c r="B207" s="145"/>
      <c r="C207" s="145"/>
      <c r="D207" s="145"/>
      <c r="E207" s="203"/>
      <c r="F207" s="203"/>
      <c r="G207" s="203"/>
      <c r="H207" s="203"/>
      <c r="I207" s="203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3"/>
      <c r="V207" s="3"/>
    </row>
    <row r="208" spans="1:22" s="5" customFormat="1" ht="22.15" customHeight="1" x14ac:dyDescent="0.2">
      <c r="A208" s="73"/>
      <c r="B208" s="74"/>
      <c r="C208" s="78"/>
      <c r="D208" s="75"/>
      <c r="E208" s="196"/>
      <c r="F208" s="196"/>
      <c r="G208" s="196"/>
      <c r="H208" s="196"/>
      <c r="I208" s="19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3"/>
      <c r="V208" s="3"/>
    </row>
    <row r="209" spans="1:22" s="5" customFormat="1" ht="22.15" customHeight="1" x14ac:dyDescent="0.2">
      <c r="A209" s="73"/>
      <c r="B209" s="76"/>
      <c r="C209" s="76"/>
      <c r="D209" s="76"/>
      <c r="E209" s="73"/>
      <c r="F209" s="73"/>
      <c r="G209" s="73"/>
      <c r="H209" s="73"/>
      <c r="I209" s="77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3"/>
      <c r="V209" s="3"/>
    </row>
    <row r="210" spans="1:22" s="5" customFormat="1" ht="21.75" customHeight="1" x14ac:dyDescent="0.2">
      <c r="A210" s="1"/>
      <c r="B210" s="1"/>
      <c r="C210" s="1"/>
      <c r="D210" s="1"/>
      <c r="E210" s="1"/>
      <c r="F210" s="72"/>
      <c r="G210" s="2"/>
      <c r="H210" s="3"/>
      <c r="I210" s="4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3"/>
      <c r="V210" s="3"/>
    </row>
    <row r="211" spans="1:22" ht="22.15" customHeight="1" x14ac:dyDescent="0.2">
      <c r="F211" s="72"/>
    </row>
    <row r="212" spans="1:22" ht="22.15" customHeight="1" x14ac:dyDescent="0.2">
      <c r="F212" s="72"/>
    </row>
    <row r="213" spans="1:22" ht="22.15" customHeight="1" x14ac:dyDescent="0.2">
      <c r="A213" s="5"/>
      <c r="B213" s="6"/>
      <c r="C213" s="6"/>
      <c r="D213" s="6"/>
      <c r="E213" s="6"/>
      <c r="F213" s="6"/>
      <c r="G213" s="6"/>
      <c r="H213" s="6"/>
      <c r="I213" s="79"/>
    </row>
    <row r="214" spans="1:22" ht="22.15" customHeight="1" x14ac:dyDescent="0.2">
      <c r="A214" s="5"/>
      <c r="B214" s="6"/>
      <c r="C214" s="6"/>
      <c r="D214" s="6"/>
      <c r="E214" s="6"/>
      <c r="F214" s="6"/>
      <c r="G214" s="6"/>
      <c r="H214" s="6"/>
      <c r="I214" s="79"/>
      <c r="J214" s="6"/>
      <c r="L214" s="3"/>
      <c r="M214" s="3"/>
      <c r="N214" s="3"/>
      <c r="O214" s="3"/>
      <c r="P214" s="3"/>
      <c r="Q214" s="3"/>
      <c r="R214" s="3"/>
      <c r="S214" s="3"/>
      <c r="T214" s="3"/>
    </row>
    <row r="215" spans="1:22" ht="22.15" customHeight="1" x14ac:dyDescent="0.2">
      <c r="A215" s="5"/>
      <c r="B215" s="6"/>
      <c r="C215" s="6"/>
      <c r="D215" s="6"/>
      <c r="E215" s="6"/>
      <c r="F215" s="6"/>
      <c r="G215" s="6"/>
      <c r="H215" s="6"/>
      <c r="I215" s="79"/>
      <c r="J215" s="6"/>
      <c r="L215" s="3"/>
      <c r="M215" s="3"/>
      <c r="N215" s="3"/>
      <c r="O215" s="3"/>
      <c r="P215" s="3"/>
      <c r="Q215" s="3"/>
      <c r="R215" s="3"/>
      <c r="S215" s="3"/>
      <c r="T215" s="3"/>
    </row>
    <row r="216" spans="1:22" ht="22.15" customHeight="1" x14ac:dyDescent="0.2">
      <c r="A216" s="5"/>
      <c r="B216" s="6"/>
      <c r="C216" s="6"/>
      <c r="D216" s="6"/>
      <c r="E216" s="6"/>
      <c r="F216" s="6"/>
      <c r="G216" s="6"/>
      <c r="H216" s="6"/>
      <c r="I216" s="79"/>
      <c r="J216" s="6"/>
      <c r="L216" s="3"/>
      <c r="M216" s="3"/>
      <c r="N216" s="3"/>
      <c r="O216" s="3"/>
      <c r="P216" s="3"/>
      <c r="Q216" s="3"/>
      <c r="R216" s="3"/>
      <c r="S216" s="3"/>
      <c r="T216" s="3"/>
    </row>
    <row r="217" spans="1:22" ht="22.15" customHeight="1" x14ac:dyDescent="0.2">
      <c r="A217" s="5"/>
      <c r="B217" s="6"/>
      <c r="C217" s="6"/>
      <c r="D217" s="6"/>
      <c r="E217" s="6"/>
      <c r="F217" s="6"/>
      <c r="G217" s="6"/>
      <c r="H217" s="6"/>
      <c r="I217" s="79"/>
      <c r="J217" s="6"/>
      <c r="L217" s="3"/>
      <c r="M217" s="3"/>
      <c r="N217" s="3"/>
      <c r="O217" s="3"/>
      <c r="P217" s="3"/>
      <c r="Q217" s="3"/>
      <c r="R217" s="3"/>
      <c r="S217" s="3"/>
      <c r="T217" s="3"/>
    </row>
    <row r="218" spans="1:22" ht="22.15" customHeight="1" x14ac:dyDescent="0.2">
      <c r="A218" s="5"/>
      <c r="B218" s="6"/>
      <c r="C218" s="6"/>
      <c r="D218" s="6"/>
      <c r="E218" s="6"/>
      <c r="F218" s="6"/>
      <c r="G218" s="6"/>
      <c r="H218" s="6"/>
      <c r="I218" s="79"/>
      <c r="J218" s="6"/>
      <c r="L218" s="3"/>
      <c r="M218" s="3"/>
      <c r="N218" s="3"/>
      <c r="O218" s="3"/>
      <c r="P218" s="3"/>
      <c r="Q218" s="3"/>
      <c r="R218" s="3"/>
      <c r="S218" s="3"/>
      <c r="T218" s="3"/>
    </row>
    <row r="219" spans="1:22" ht="22.15" customHeight="1" x14ac:dyDescent="0.2">
      <c r="A219" s="5"/>
      <c r="B219" s="6"/>
      <c r="C219" s="6"/>
      <c r="D219" s="6"/>
      <c r="E219" s="6"/>
      <c r="F219" s="6"/>
      <c r="G219" s="6"/>
      <c r="H219" s="6"/>
      <c r="I219" s="79"/>
      <c r="J219" s="6"/>
      <c r="L219" s="3"/>
      <c r="M219" s="3"/>
      <c r="N219" s="3"/>
      <c r="O219" s="3"/>
      <c r="P219" s="3"/>
      <c r="Q219" s="3"/>
      <c r="R219" s="3"/>
      <c r="S219" s="3"/>
      <c r="T219" s="3"/>
    </row>
    <row r="220" spans="1:22" ht="105" customHeight="1" x14ac:dyDescent="0.2">
      <c r="A220" s="5"/>
      <c r="B220" s="6"/>
      <c r="C220" s="6"/>
      <c r="D220" s="6"/>
      <c r="E220" s="6"/>
      <c r="F220" s="6"/>
      <c r="G220" s="6"/>
      <c r="H220" s="6"/>
      <c r="I220" s="79"/>
      <c r="J220" s="6"/>
      <c r="L220" s="3"/>
      <c r="M220" s="3"/>
      <c r="N220" s="3"/>
      <c r="O220" s="3"/>
      <c r="P220" s="3"/>
      <c r="Q220" s="3"/>
      <c r="R220" s="3"/>
      <c r="S220" s="3"/>
      <c r="T220" s="3"/>
    </row>
    <row r="221" spans="1:22" ht="22.15" customHeight="1" x14ac:dyDescent="0.2">
      <c r="A221" s="5"/>
      <c r="B221" s="6"/>
      <c r="C221" s="6"/>
      <c r="D221" s="6"/>
      <c r="E221" s="6"/>
      <c r="F221" s="6"/>
      <c r="G221" s="6"/>
      <c r="H221" s="6"/>
      <c r="I221" s="79"/>
      <c r="J221" s="6"/>
      <c r="L221" s="3"/>
      <c r="M221" s="3"/>
      <c r="N221" s="3"/>
      <c r="O221" s="3"/>
      <c r="P221" s="3"/>
      <c r="Q221" s="3"/>
      <c r="R221" s="3"/>
      <c r="S221" s="3"/>
      <c r="T221" s="3"/>
    </row>
    <row r="222" spans="1:22" ht="22.15" customHeight="1" x14ac:dyDescent="0.2">
      <c r="A222" s="5"/>
      <c r="B222" s="6"/>
      <c r="C222" s="6"/>
      <c r="D222" s="6"/>
      <c r="E222" s="6"/>
      <c r="F222" s="6"/>
      <c r="G222" s="6"/>
      <c r="H222" s="6"/>
      <c r="I222" s="79"/>
      <c r="J222" s="6"/>
      <c r="L222" s="3"/>
      <c r="M222" s="3"/>
      <c r="N222" s="3"/>
      <c r="O222" s="3"/>
      <c r="P222" s="3"/>
      <c r="Q222" s="3"/>
      <c r="R222" s="3"/>
      <c r="S222" s="3"/>
      <c r="T222" s="3"/>
    </row>
    <row r="223" spans="1:22" ht="102.6" customHeight="1" x14ac:dyDescent="0.2">
      <c r="A223" s="5"/>
      <c r="B223" s="6"/>
      <c r="C223" s="6"/>
      <c r="D223" s="6"/>
      <c r="E223" s="6"/>
      <c r="F223" s="6"/>
      <c r="G223" s="6"/>
      <c r="H223" s="6"/>
      <c r="I223" s="79"/>
      <c r="J223" s="6"/>
      <c r="L223" s="3"/>
      <c r="M223" s="3"/>
      <c r="N223" s="3"/>
      <c r="O223" s="3"/>
      <c r="P223" s="3"/>
      <c r="Q223" s="3"/>
      <c r="R223" s="3"/>
      <c r="S223" s="3"/>
      <c r="T223" s="3"/>
    </row>
    <row r="224" spans="1:22" ht="22.15" customHeight="1" x14ac:dyDescent="0.2">
      <c r="A224" s="5"/>
      <c r="B224" s="6"/>
      <c r="C224" s="6"/>
      <c r="D224" s="6"/>
      <c r="E224" s="6"/>
      <c r="F224" s="6"/>
      <c r="G224" s="6"/>
      <c r="H224" s="6"/>
      <c r="I224" s="79"/>
      <c r="J224" s="6"/>
      <c r="L224" s="3"/>
      <c r="M224" s="3"/>
      <c r="N224" s="3"/>
      <c r="O224" s="3"/>
      <c r="P224" s="3"/>
      <c r="Q224" s="3"/>
      <c r="R224" s="3"/>
      <c r="S224" s="3"/>
      <c r="T224" s="3"/>
    </row>
    <row r="225" spans="1:20" ht="22.15" customHeight="1" x14ac:dyDescent="0.2">
      <c r="A225" s="5"/>
      <c r="B225" s="6"/>
      <c r="C225" s="6"/>
      <c r="D225" s="6"/>
      <c r="E225" s="6"/>
      <c r="F225" s="6"/>
      <c r="G225" s="6"/>
      <c r="H225" s="6"/>
      <c r="I225" s="79"/>
      <c r="J225" s="6"/>
      <c r="L225" s="3"/>
      <c r="M225" s="3"/>
      <c r="N225" s="3"/>
      <c r="O225" s="3"/>
      <c r="P225" s="3"/>
      <c r="Q225" s="3"/>
      <c r="R225" s="3"/>
      <c r="S225" s="3"/>
      <c r="T225" s="3"/>
    </row>
    <row r="226" spans="1:20" ht="22.15" customHeight="1" x14ac:dyDescent="0.2">
      <c r="A226" s="5"/>
      <c r="B226" s="6"/>
      <c r="C226" s="6"/>
      <c r="D226" s="6"/>
      <c r="E226" s="6"/>
      <c r="F226" s="6"/>
      <c r="G226" s="6"/>
      <c r="H226" s="6"/>
      <c r="I226" s="79"/>
      <c r="J226" s="6"/>
      <c r="L226" s="3"/>
      <c r="M226" s="3"/>
      <c r="N226" s="3"/>
      <c r="O226" s="3"/>
      <c r="P226" s="3"/>
      <c r="Q226" s="3"/>
      <c r="R226" s="3"/>
      <c r="S226" s="3"/>
      <c r="T226" s="3"/>
    </row>
    <row r="227" spans="1:20" ht="22.15" customHeight="1" x14ac:dyDescent="0.2">
      <c r="J227" s="6"/>
      <c r="L227" s="3"/>
      <c r="M227" s="3"/>
      <c r="N227" s="3"/>
      <c r="O227" s="3"/>
      <c r="P227" s="3"/>
      <c r="Q227" s="3"/>
      <c r="R227" s="3"/>
      <c r="S227" s="3"/>
      <c r="T227" s="3"/>
    </row>
  </sheetData>
  <mergeCells count="95">
    <mergeCell ref="A106:I106"/>
    <mergeCell ref="A159:G159"/>
    <mergeCell ref="A161:I161"/>
    <mergeCell ref="A176:G176"/>
    <mergeCell ref="K185:L185"/>
    <mergeCell ref="A178:I178"/>
    <mergeCell ref="M185:N185"/>
    <mergeCell ref="O185:P185"/>
    <mergeCell ref="E208:I208"/>
    <mergeCell ref="S185:T185"/>
    <mergeCell ref="A185:F185"/>
    <mergeCell ref="G185:I185"/>
    <mergeCell ref="A187:I187"/>
    <mergeCell ref="A192:I192"/>
    <mergeCell ref="A193:I193"/>
    <mergeCell ref="Q185:R185"/>
    <mergeCell ref="E199:I199"/>
    <mergeCell ref="E200:I200"/>
    <mergeCell ref="E203:I203"/>
    <mergeCell ref="E206:I206"/>
    <mergeCell ref="E207:I207"/>
    <mergeCell ref="S179:T179"/>
    <mergeCell ref="A181:G181"/>
    <mergeCell ref="A183:F183"/>
    <mergeCell ref="G183:I183"/>
    <mergeCell ref="K184:L184"/>
    <mergeCell ref="M184:N184"/>
    <mergeCell ref="O184:P184"/>
    <mergeCell ref="Q184:R184"/>
    <mergeCell ref="S184:T184"/>
    <mergeCell ref="A184:E184"/>
    <mergeCell ref="G184:I184"/>
    <mergeCell ref="K179:L179"/>
    <mergeCell ref="M179:N179"/>
    <mergeCell ref="O179:P179"/>
    <mergeCell ref="Q179:R179"/>
    <mergeCell ref="S97:T97"/>
    <mergeCell ref="A104:G104"/>
    <mergeCell ref="A90:G90"/>
    <mergeCell ref="A92:I92"/>
    <mergeCell ref="K97:L97"/>
    <mergeCell ref="M97:N97"/>
    <mergeCell ref="O97:P97"/>
    <mergeCell ref="Q97:R97"/>
    <mergeCell ref="K93:L93"/>
    <mergeCell ref="M93:N93"/>
    <mergeCell ref="O93:P93"/>
    <mergeCell ref="Q93:R93"/>
    <mergeCell ref="S93:T93"/>
    <mergeCell ref="S75:T75"/>
    <mergeCell ref="A79:G79"/>
    <mergeCell ref="A81:I81"/>
    <mergeCell ref="K82:L82"/>
    <mergeCell ref="M82:N82"/>
    <mergeCell ref="O82:P82"/>
    <mergeCell ref="Q82:R82"/>
    <mergeCell ref="S82:T82"/>
    <mergeCell ref="Q75:R75"/>
    <mergeCell ref="A72:G72"/>
    <mergeCell ref="A74:I74"/>
    <mergeCell ref="K75:L75"/>
    <mergeCell ref="M75:N75"/>
    <mergeCell ref="O75:P75"/>
    <mergeCell ref="S25:T25"/>
    <mergeCell ref="A45:G45"/>
    <mergeCell ref="A47:I47"/>
    <mergeCell ref="K48:L48"/>
    <mergeCell ref="M48:N48"/>
    <mergeCell ref="O48:P48"/>
    <mergeCell ref="Q48:R48"/>
    <mergeCell ref="S48:T48"/>
    <mergeCell ref="Q25:R25"/>
    <mergeCell ref="A22:G22"/>
    <mergeCell ref="A24:I24"/>
    <mergeCell ref="K25:L25"/>
    <mergeCell ref="M25:N25"/>
    <mergeCell ref="O25:P25"/>
    <mergeCell ref="A16:I16"/>
    <mergeCell ref="K16:L16"/>
    <mergeCell ref="M16:N16"/>
    <mergeCell ref="O16:P16"/>
    <mergeCell ref="Q16:R16"/>
    <mergeCell ref="S16:T16"/>
    <mergeCell ref="K12:L13"/>
    <mergeCell ref="M12:N13"/>
    <mergeCell ref="O12:P13"/>
    <mergeCell ref="Q12:R13"/>
    <mergeCell ref="S12:T13"/>
    <mergeCell ref="A14:I14"/>
    <mergeCell ref="A7:I7"/>
    <mergeCell ref="A9:E9"/>
    <mergeCell ref="F9:I12"/>
    <mergeCell ref="A10:E10"/>
    <mergeCell ref="A11:E11"/>
    <mergeCell ref="A12:E12"/>
  </mergeCells>
  <phoneticPr fontId="2" type="noConversion"/>
  <printOptions horizontalCentered="1"/>
  <pageMargins left="0.23622047244094491" right="0.23622047244094491" top="0.78740157480314965" bottom="0" header="3.937007874015748E-2" footer="0.19685039370078741"/>
  <pageSetup paperSize="9" scale="55" fitToHeight="0" orientation="portrait" r:id="rId1"/>
  <headerFooter>
    <oddFooter>Página &amp;P de &amp;N</oddFooter>
  </headerFooter>
  <rowBreaks count="3" manualBreakCount="3">
    <brk id="53" max="8" man="1"/>
    <brk id="105" max="8" man="1"/>
    <brk id="154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F7F31-6AD4-44FF-8FEE-64E1D9BD56B4}">
  <sheetPr>
    <pageSetUpPr fitToPage="1"/>
  </sheetPr>
  <dimension ref="A3:ALA92"/>
  <sheetViews>
    <sheetView showGridLines="0" view="pageBreakPreview" topLeftCell="A73" zoomScale="85" zoomScaleNormal="85" zoomScaleSheetLayoutView="85" zoomScalePageLayoutView="55" workbookViewId="0">
      <selection activeCell="G79" sqref="G79"/>
    </sheetView>
  </sheetViews>
  <sheetFormatPr defaultColWidth="8.7109375" defaultRowHeight="15.75" x14ac:dyDescent="0.25"/>
  <cols>
    <col min="1" max="1" width="18.7109375" style="70" customWidth="1"/>
    <col min="2" max="2" width="22.28515625" style="70" customWidth="1"/>
    <col min="3" max="3" width="70.140625" style="70" customWidth="1"/>
    <col min="4" max="4" width="15" style="70" customWidth="1"/>
    <col min="5" max="5" width="16.42578125" style="70" customWidth="1"/>
    <col min="6" max="6" width="24.140625" style="70" customWidth="1"/>
    <col min="7" max="7" width="22.28515625" style="80" customWidth="1"/>
    <col min="8" max="8" width="10.42578125" style="70" customWidth="1"/>
    <col min="9" max="16384" width="8.7109375" style="70"/>
  </cols>
  <sheetData>
    <row r="3" spans="1:989" ht="62.25" customHeight="1" x14ac:dyDescent="0.25"/>
    <row r="4" spans="1:989" s="3" customFormat="1" ht="15" x14ac:dyDescent="0.25">
      <c r="A4" s="7"/>
      <c r="B4" s="7"/>
      <c r="C4" s="7"/>
      <c r="D4" s="7"/>
      <c r="E4" s="7"/>
      <c r="F4" s="7"/>
      <c r="G4" s="81"/>
    </row>
    <row r="5" spans="1:989" s="3" customFormat="1" ht="28.5" customHeight="1" x14ac:dyDescent="0.25">
      <c r="A5" s="160" t="s">
        <v>471</v>
      </c>
      <c r="B5" s="82"/>
      <c r="C5" s="82"/>
      <c r="D5" s="167" t="s">
        <v>314</v>
      </c>
      <c r="E5" s="167"/>
      <c r="F5" s="167"/>
      <c r="G5" s="167"/>
    </row>
    <row r="6" spans="1:989" s="3" customFormat="1" ht="21.75" customHeight="1" x14ac:dyDescent="0.25">
      <c r="A6" s="129" t="s">
        <v>10</v>
      </c>
      <c r="B6" s="130"/>
      <c r="C6" s="130"/>
      <c r="D6" s="167"/>
      <c r="E6" s="167"/>
      <c r="F6" s="167"/>
      <c r="G6" s="167"/>
    </row>
    <row r="7" spans="1:989" s="3" customFormat="1" ht="20.25" customHeight="1" x14ac:dyDescent="0.25">
      <c r="A7" s="129" t="s">
        <v>472</v>
      </c>
      <c r="B7" s="130"/>
      <c r="C7" s="130"/>
      <c r="D7" s="167"/>
      <c r="E7" s="167"/>
      <c r="F7" s="167"/>
      <c r="G7" s="167"/>
    </row>
    <row r="8" spans="1:989" s="3" customFormat="1" ht="24" customHeight="1" x14ac:dyDescent="0.25">
      <c r="A8" s="136" t="s">
        <v>470</v>
      </c>
      <c r="B8" s="137"/>
      <c r="C8" s="138"/>
      <c r="D8" s="167"/>
      <c r="E8" s="167"/>
      <c r="F8" s="167"/>
      <c r="G8" s="167"/>
    </row>
    <row r="9" spans="1:989" s="3" customFormat="1" x14ac:dyDescent="0.25">
      <c r="A9" s="83"/>
      <c r="B9" s="83"/>
      <c r="C9" s="5"/>
      <c r="D9" s="5"/>
      <c r="E9" s="5"/>
      <c r="F9" s="5"/>
      <c r="G9" s="84"/>
    </row>
    <row r="10" spans="1:989" ht="21" x14ac:dyDescent="0.25">
      <c r="A10" s="213" t="s">
        <v>85</v>
      </c>
      <c r="B10" s="213"/>
      <c r="C10" s="213"/>
      <c r="D10" s="213"/>
      <c r="E10" s="213"/>
      <c r="F10" s="213"/>
      <c r="G10" s="213"/>
    </row>
    <row r="12" spans="1:989" s="88" customFormat="1" ht="25.15" customHeight="1" x14ac:dyDescent="0.2">
      <c r="A12" s="214" t="s">
        <v>0</v>
      </c>
      <c r="B12" s="215"/>
      <c r="C12" s="85" t="s">
        <v>86</v>
      </c>
      <c r="D12" s="85" t="s">
        <v>5</v>
      </c>
      <c r="E12" s="214" t="s">
        <v>16</v>
      </c>
      <c r="F12" s="215"/>
      <c r="G12" s="86" t="s">
        <v>87</v>
      </c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  <c r="CU12" s="87"/>
      <c r="CV12" s="87"/>
      <c r="CW12" s="87"/>
      <c r="CX12" s="87"/>
      <c r="CY12" s="87"/>
      <c r="CZ12" s="87"/>
      <c r="DA12" s="87"/>
      <c r="DB12" s="87"/>
      <c r="DC12" s="87"/>
      <c r="DD12" s="87"/>
      <c r="DE12" s="87"/>
      <c r="DF12" s="87"/>
      <c r="DG12" s="87"/>
      <c r="DH12" s="87"/>
      <c r="DI12" s="87"/>
      <c r="DJ12" s="87"/>
      <c r="DK12" s="87"/>
      <c r="DL12" s="87"/>
      <c r="DM12" s="87"/>
      <c r="DN12" s="87"/>
      <c r="DO12" s="87"/>
      <c r="DP12" s="87"/>
      <c r="DQ12" s="87"/>
      <c r="DR12" s="87"/>
      <c r="DS12" s="87"/>
      <c r="DT12" s="87"/>
      <c r="DU12" s="87"/>
      <c r="DV12" s="87"/>
      <c r="DW12" s="87"/>
      <c r="DX12" s="87"/>
      <c r="DY12" s="87"/>
      <c r="DZ12" s="87"/>
      <c r="EA12" s="87"/>
      <c r="EB12" s="87"/>
      <c r="EC12" s="87"/>
      <c r="ED12" s="87"/>
      <c r="EE12" s="87"/>
      <c r="EF12" s="87"/>
      <c r="EG12" s="87"/>
      <c r="EH12" s="87"/>
      <c r="EI12" s="87"/>
      <c r="EJ12" s="87"/>
      <c r="EK12" s="87"/>
      <c r="EL12" s="87"/>
      <c r="EM12" s="87"/>
      <c r="EN12" s="87"/>
      <c r="EO12" s="87"/>
      <c r="EP12" s="87"/>
      <c r="EQ12" s="87"/>
      <c r="ER12" s="87"/>
      <c r="ES12" s="87"/>
      <c r="ET12" s="87"/>
      <c r="EU12" s="87"/>
      <c r="EV12" s="87"/>
      <c r="EW12" s="87"/>
      <c r="EX12" s="87"/>
      <c r="EY12" s="87"/>
      <c r="EZ12" s="87"/>
      <c r="FA12" s="87"/>
      <c r="FB12" s="87"/>
      <c r="FC12" s="87"/>
      <c r="FD12" s="87"/>
      <c r="FE12" s="87"/>
      <c r="FF12" s="87"/>
      <c r="FG12" s="87"/>
      <c r="FH12" s="87"/>
      <c r="FI12" s="87"/>
      <c r="FJ12" s="87"/>
      <c r="FK12" s="87"/>
      <c r="FL12" s="87"/>
      <c r="FM12" s="87"/>
      <c r="FN12" s="87"/>
      <c r="FO12" s="87"/>
      <c r="FP12" s="87"/>
      <c r="FQ12" s="87"/>
      <c r="FR12" s="87"/>
      <c r="FS12" s="87"/>
      <c r="FT12" s="87"/>
      <c r="FU12" s="87"/>
      <c r="FV12" s="87"/>
      <c r="FW12" s="87"/>
      <c r="FX12" s="87"/>
      <c r="FY12" s="87"/>
      <c r="FZ12" s="87"/>
      <c r="GA12" s="87"/>
      <c r="GB12" s="87"/>
      <c r="GC12" s="87"/>
      <c r="GD12" s="87"/>
      <c r="GE12" s="87"/>
      <c r="GF12" s="87"/>
      <c r="GG12" s="87"/>
      <c r="GH12" s="87"/>
      <c r="GI12" s="87"/>
      <c r="GJ12" s="87"/>
      <c r="GK12" s="87"/>
      <c r="GL12" s="87"/>
      <c r="GM12" s="87"/>
      <c r="GN12" s="87"/>
      <c r="GO12" s="87"/>
      <c r="GP12" s="87"/>
      <c r="GQ12" s="87"/>
      <c r="GR12" s="87"/>
      <c r="GS12" s="87"/>
      <c r="GT12" s="87"/>
      <c r="GU12" s="87"/>
      <c r="GV12" s="87"/>
      <c r="GW12" s="87"/>
      <c r="GX12" s="87"/>
      <c r="GY12" s="87"/>
      <c r="GZ12" s="87"/>
      <c r="HA12" s="87"/>
      <c r="HB12" s="87"/>
      <c r="HC12" s="87"/>
      <c r="HD12" s="87"/>
      <c r="HE12" s="87"/>
      <c r="HF12" s="87"/>
      <c r="HG12" s="87"/>
      <c r="HH12" s="87"/>
      <c r="HI12" s="87"/>
      <c r="HJ12" s="87"/>
      <c r="HK12" s="87"/>
      <c r="HL12" s="87"/>
      <c r="HM12" s="87"/>
      <c r="HN12" s="87"/>
      <c r="HO12" s="87"/>
      <c r="HP12" s="87"/>
      <c r="HQ12" s="87"/>
      <c r="HR12" s="87"/>
      <c r="HS12" s="87"/>
      <c r="HT12" s="87"/>
      <c r="HU12" s="87"/>
      <c r="HV12" s="87"/>
      <c r="HW12" s="87"/>
      <c r="HX12" s="87"/>
      <c r="HY12" s="87"/>
      <c r="HZ12" s="87"/>
      <c r="IA12" s="87"/>
      <c r="IB12" s="87"/>
      <c r="IC12" s="87"/>
      <c r="ID12" s="87"/>
      <c r="IE12" s="87"/>
      <c r="IF12" s="87"/>
      <c r="IG12" s="87"/>
      <c r="IH12" s="87"/>
      <c r="II12" s="87"/>
      <c r="IJ12" s="87"/>
      <c r="IK12" s="87"/>
      <c r="IL12" s="87"/>
      <c r="IM12" s="87"/>
      <c r="IN12" s="87"/>
      <c r="IO12" s="87"/>
      <c r="IP12" s="87"/>
      <c r="IQ12" s="87"/>
      <c r="IR12" s="87"/>
      <c r="IS12" s="87"/>
      <c r="IT12" s="87"/>
      <c r="IU12" s="87"/>
      <c r="IV12" s="87"/>
      <c r="IW12" s="87"/>
      <c r="IX12" s="87"/>
      <c r="IY12" s="87"/>
      <c r="IZ12" s="87"/>
      <c r="JA12" s="87"/>
      <c r="JB12" s="87"/>
      <c r="JC12" s="87"/>
      <c r="JD12" s="87"/>
      <c r="JE12" s="87"/>
      <c r="JF12" s="87"/>
      <c r="JG12" s="87"/>
      <c r="JH12" s="87"/>
      <c r="JI12" s="87"/>
      <c r="JJ12" s="87"/>
      <c r="JK12" s="87"/>
      <c r="JL12" s="87"/>
      <c r="JM12" s="87"/>
      <c r="JN12" s="87"/>
      <c r="JO12" s="87"/>
      <c r="JP12" s="87"/>
      <c r="JQ12" s="87"/>
      <c r="JR12" s="87"/>
      <c r="JS12" s="87"/>
      <c r="JT12" s="87"/>
      <c r="JU12" s="87"/>
      <c r="JV12" s="87"/>
      <c r="JW12" s="87"/>
      <c r="JX12" s="87"/>
      <c r="JY12" s="87"/>
      <c r="JZ12" s="87"/>
      <c r="KA12" s="87"/>
      <c r="KB12" s="87"/>
      <c r="KC12" s="87"/>
      <c r="KD12" s="87"/>
      <c r="KE12" s="87"/>
      <c r="KF12" s="87"/>
      <c r="KG12" s="87"/>
      <c r="KH12" s="87"/>
      <c r="KI12" s="87"/>
      <c r="KJ12" s="87"/>
      <c r="KK12" s="87"/>
      <c r="KL12" s="87"/>
      <c r="KM12" s="87"/>
      <c r="KN12" s="87"/>
      <c r="KO12" s="87"/>
      <c r="KP12" s="87"/>
      <c r="KQ12" s="87"/>
      <c r="KR12" s="87"/>
      <c r="KS12" s="87"/>
      <c r="KT12" s="87"/>
      <c r="KU12" s="87"/>
      <c r="KV12" s="87"/>
      <c r="KW12" s="87"/>
      <c r="KX12" s="87"/>
      <c r="KY12" s="87"/>
      <c r="KZ12" s="87"/>
      <c r="LA12" s="87"/>
      <c r="LB12" s="87"/>
      <c r="LC12" s="87"/>
      <c r="LD12" s="87"/>
      <c r="LE12" s="87"/>
      <c r="LF12" s="87"/>
      <c r="LG12" s="87"/>
      <c r="LH12" s="87"/>
      <c r="LI12" s="87"/>
      <c r="LJ12" s="87"/>
      <c r="LK12" s="87"/>
      <c r="LL12" s="87"/>
      <c r="LM12" s="87"/>
      <c r="LN12" s="87"/>
      <c r="LO12" s="87"/>
      <c r="LP12" s="87"/>
      <c r="LQ12" s="87"/>
      <c r="LR12" s="87"/>
      <c r="LS12" s="87"/>
      <c r="LT12" s="87"/>
      <c r="LU12" s="87"/>
      <c r="LV12" s="87"/>
      <c r="LW12" s="87"/>
      <c r="LX12" s="87"/>
      <c r="LY12" s="87"/>
      <c r="LZ12" s="87"/>
      <c r="MA12" s="87"/>
      <c r="MB12" s="87"/>
      <c r="MC12" s="87"/>
      <c r="MD12" s="87"/>
      <c r="ME12" s="87"/>
      <c r="MF12" s="87"/>
      <c r="MG12" s="87"/>
      <c r="MH12" s="87"/>
      <c r="MI12" s="87"/>
      <c r="MJ12" s="87"/>
      <c r="MK12" s="87"/>
      <c r="ML12" s="87"/>
      <c r="MM12" s="87"/>
      <c r="MN12" s="87"/>
      <c r="MO12" s="87"/>
      <c r="MP12" s="87"/>
      <c r="MQ12" s="87"/>
      <c r="MR12" s="87"/>
      <c r="MS12" s="87"/>
      <c r="MT12" s="87"/>
      <c r="MU12" s="87"/>
      <c r="MV12" s="87"/>
      <c r="MW12" s="87"/>
      <c r="MX12" s="87"/>
      <c r="MY12" s="87"/>
      <c r="MZ12" s="87"/>
      <c r="NA12" s="87"/>
      <c r="NB12" s="87"/>
      <c r="NC12" s="87"/>
      <c r="ND12" s="87"/>
      <c r="NE12" s="87"/>
      <c r="NF12" s="87"/>
      <c r="NG12" s="87"/>
      <c r="NH12" s="87"/>
      <c r="NI12" s="87"/>
      <c r="NJ12" s="87"/>
      <c r="NK12" s="87"/>
      <c r="NL12" s="87"/>
      <c r="NM12" s="87"/>
      <c r="NN12" s="87"/>
      <c r="NO12" s="87"/>
      <c r="NP12" s="87"/>
      <c r="NQ12" s="87"/>
      <c r="NR12" s="87"/>
      <c r="NS12" s="87"/>
      <c r="NT12" s="87"/>
      <c r="NU12" s="87"/>
      <c r="NV12" s="87"/>
      <c r="NW12" s="87"/>
      <c r="NX12" s="87"/>
      <c r="NY12" s="87"/>
      <c r="NZ12" s="87"/>
      <c r="OA12" s="87"/>
      <c r="OB12" s="87"/>
      <c r="OC12" s="87"/>
      <c r="OD12" s="87"/>
      <c r="OE12" s="87"/>
      <c r="OF12" s="87"/>
      <c r="OG12" s="87"/>
      <c r="OH12" s="87"/>
      <c r="OI12" s="87"/>
      <c r="OJ12" s="87"/>
      <c r="OK12" s="87"/>
      <c r="OL12" s="87"/>
      <c r="OM12" s="87"/>
      <c r="ON12" s="87"/>
      <c r="OO12" s="87"/>
      <c r="OP12" s="87"/>
      <c r="OQ12" s="87"/>
      <c r="OR12" s="87"/>
      <c r="OS12" s="87"/>
      <c r="OT12" s="87"/>
      <c r="OU12" s="87"/>
      <c r="OV12" s="87"/>
      <c r="OW12" s="87"/>
      <c r="OX12" s="87"/>
      <c r="OY12" s="87"/>
      <c r="OZ12" s="87"/>
      <c r="PA12" s="87"/>
      <c r="PB12" s="87"/>
      <c r="PC12" s="87"/>
      <c r="PD12" s="87"/>
      <c r="PE12" s="87"/>
      <c r="PF12" s="87"/>
      <c r="PG12" s="87"/>
      <c r="PH12" s="87"/>
      <c r="PI12" s="87"/>
      <c r="PJ12" s="87"/>
      <c r="PK12" s="87"/>
      <c r="PL12" s="87"/>
      <c r="PM12" s="87"/>
      <c r="PN12" s="87"/>
      <c r="PO12" s="87"/>
      <c r="PP12" s="87"/>
      <c r="PQ12" s="87"/>
      <c r="PR12" s="87"/>
      <c r="PS12" s="87"/>
      <c r="PT12" s="87"/>
      <c r="PU12" s="87"/>
      <c r="PV12" s="87"/>
      <c r="PW12" s="87"/>
      <c r="PX12" s="87"/>
      <c r="PY12" s="87"/>
      <c r="PZ12" s="87"/>
      <c r="QA12" s="87"/>
      <c r="QB12" s="87"/>
      <c r="QC12" s="87"/>
      <c r="QD12" s="87"/>
      <c r="QE12" s="87"/>
      <c r="QF12" s="87"/>
      <c r="QG12" s="87"/>
      <c r="QH12" s="87"/>
      <c r="QI12" s="87"/>
      <c r="QJ12" s="87"/>
      <c r="QK12" s="87"/>
      <c r="QL12" s="87"/>
      <c r="QM12" s="87"/>
      <c r="QN12" s="87"/>
      <c r="QO12" s="87"/>
      <c r="QP12" s="87"/>
      <c r="QQ12" s="87"/>
      <c r="QR12" s="87"/>
      <c r="QS12" s="87"/>
      <c r="QT12" s="87"/>
      <c r="QU12" s="87"/>
      <c r="QV12" s="87"/>
      <c r="QW12" s="87"/>
      <c r="QX12" s="87"/>
      <c r="QY12" s="87"/>
      <c r="QZ12" s="87"/>
      <c r="RA12" s="87"/>
      <c r="RB12" s="87"/>
      <c r="RC12" s="87"/>
      <c r="RD12" s="87"/>
      <c r="RE12" s="87"/>
      <c r="RF12" s="87"/>
      <c r="RG12" s="87"/>
      <c r="RH12" s="87"/>
      <c r="RI12" s="87"/>
      <c r="RJ12" s="87"/>
      <c r="RK12" s="87"/>
      <c r="RL12" s="87"/>
      <c r="RM12" s="87"/>
      <c r="RN12" s="87"/>
      <c r="RO12" s="87"/>
      <c r="RP12" s="87"/>
      <c r="RQ12" s="87"/>
      <c r="RR12" s="87"/>
      <c r="RS12" s="87"/>
      <c r="RT12" s="87"/>
      <c r="RU12" s="87"/>
      <c r="RV12" s="87"/>
      <c r="RW12" s="87"/>
      <c r="RX12" s="87"/>
      <c r="RY12" s="87"/>
      <c r="RZ12" s="87"/>
      <c r="SA12" s="87"/>
      <c r="SB12" s="87"/>
      <c r="SC12" s="87"/>
      <c r="SD12" s="87"/>
      <c r="SE12" s="87"/>
      <c r="SF12" s="87"/>
      <c r="SG12" s="87"/>
      <c r="SH12" s="87"/>
      <c r="SI12" s="87"/>
      <c r="SJ12" s="87"/>
      <c r="SK12" s="87"/>
      <c r="SL12" s="87"/>
      <c r="SM12" s="87"/>
      <c r="SN12" s="87"/>
      <c r="SO12" s="87"/>
      <c r="SP12" s="87"/>
      <c r="SQ12" s="87"/>
      <c r="SR12" s="87"/>
      <c r="SS12" s="87"/>
      <c r="ST12" s="87"/>
      <c r="SU12" s="87"/>
      <c r="SV12" s="87"/>
      <c r="SW12" s="87"/>
      <c r="SX12" s="87"/>
      <c r="SY12" s="87"/>
      <c r="SZ12" s="87"/>
      <c r="TA12" s="87"/>
      <c r="TB12" s="87"/>
      <c r="TC12" s="87"/>
      <c r="TD12" s="87"/>
      <c r="TE12" s="87"/>
      <c r="TF12" s="87"/>
      <c r="TG12" s="87"/>
      <c r="TH12" s="87"/>
      <c r="TI12" s="87"/>
      <c r="TJ12" s="87"/>
      <c r="TK12" s="87"/>
      <c r="TL12" s="87"/>
      <c r="TM12" s="87"/>
      <c r="TN12" s="87"/>
      <c r="TO12" s="87"/>
      <c r="TP12" s="87"/>
      <c r="TQ12" s="87"/>
      <c r="TR12" s="87"/>
      <c r="TS12" s="87"/>
      <c r="TT12" s="87"/>
      <c r="TU12" s="87"/>
      <c r="TV12" s="87"/>
      <c r="TW12" s="87"/>
      <c r="TX12" s="87"/>
      <c r="TY12" s="87"/>
      <c r="TZ12" s="87"/>
      <c r="UA12" s="87"/>
      <c r="UB12" s="87"/>
      <c r="UC12" s="87"/>
      <c r="UD12" s="87"/>
      <c r="UE12" s="87"/>
      <c r="UF12" s="87"/>
      <c r="UG12" s="87"/>
      <c r="UH12" s="87"/>
      <c r="UI12" s="87"/>
      <c r="UJ12" s="87"/>
      <c r="UK12" s="87"/>
      <c r="UL12" s="87"/>
      <c r="UM12" s="87"/>
      <c r="UN12" s="87"/>
      <c r="UO12" s="87"/>
      <c r="UP12" s="87"/>
      <c r="UQ12" s="87"/>
      <c r="UR12" s="87"/>
      <c r="US12" s="87"/>
      <c r="UT12" s="87"/>
      <c r="UU12" s="87"/>
      <c r="UV12" s="87"/>
      <c r="UW12" s="87"/>
      <c r="UX12" s="87"/>
      <c r="UY12" s="87"/>
      <c r="UZ12" s="87"/>
      <c r="VA12" s="87"/>
      <c r="VB12" s="87"/>
      <c r="VC12" s="87"/>
      <c r="VD12" s="87"/>
      <c r="VE12" s="87"/>
      <c r="VF12" s="87"/>
      <c r="VG12" s="87"/>
      <c r="VH12" s="87"/>
      <c r="VI12" s="87"/>
      <c r="VJ12" s="87"/>
      <c r="VK12" s="87"/>
      <c r="VL12" s="87"/>
      <c r="VM12" s="87"/>
      <c r="VN12" s="87"/>
      <c r="VO12" s="87"/>
      <c r="VP12" s="87"/>
      <c r="VQ12" s="87"/>
      <c r="VR12" s="87"/>
      <c r="VS12" s="87"/>
      <c r="VT12" s="87"/>
      <c r="VU12" s="87"/>
      <c r="VV12" s="87"/>
      <c r="VW12" s="87"/>
      <c r="VX12" s="87"/>
      <c r="VY12" s="87"/>
      <c r="VZ12" s="87"/>
      <c r="WA12" s="87"/>
      <c r="WB12" s="87"/>
      <c r="WC12" s="87"/>
      <c r="WD12" s="87"/>
      <c r="WE12" s="87"/>
      <c r="WF12" s="87"/>
      <c r="WG12" s="87"/>
      <c r="WH12" s="87"/>
      <c r="WI12" s="87"/>
      <c r="WJ12" s="87"/>
      <c r="WK12" s="87"/>
      <c r="WL12" s="87"/>
      <c r="WM12" s="87"/>
      <c r="WN12" s="87"/>
      <c r="WO12" s="87"/>
      <c r="WP12" s="87"/>
      <c r="WQ12" s="87"/>
      <c r="WR12" s="87"/>
      <c r="WS12" s="87"/>
      <c r="WT12" s="87"/>
      <c r="WU12" s="87"/>
      <c r="WV12" s="87"/>
      <c r="WW12" s="87"/>
      <c r="WX12" s="87"/>
      <c r="WY12" s="87"/>
      <c r="WZ12" s="87"/>
      <c r="XA12" s="87"/>
      <c r="XB12" s="87"/>
      <c r="XC12" s="87"/>
      <c r="XD12" s="87"/>
      <c r="XE12" s="87"/>
      <c r="XF12" s="87"/>
      <c r="XG12" s="87"/>
      <c r="XH12" s="87"/>
      <c r="XI12" s="87"/>
      <c r="XJ12" s="87"/>
      <c r="XK12" s="87"/>
      <c r="XL12" s="87"/>
      <c r="XM12" s="87"/>
      <c r="XN12" s="87"/>
      <c r="XO12" s="87"/>
      <c r="XP12" s="87"/>
      <c r="XQ12" s="87"/>
      <c r="XR12" s="87"/>
      <c r="XS12" s="87"/>
      <c r="XT12" s="87"/>
      <c r="XU12" s="87"/>
      <c r="XV12" s="87"/>
      <c r="XW12" s="87"/>
      <c r="XX12" s="87"/>
      <c r="XY12" s="87"/>
      <c r="XZ12" s="87"/>
      <c r="YA12" s="87"/>
      <c r="YB12" s="87"/>
      <c r="YC12" s="87"/>
      <c r="YD12" s="87"/>
      <c r="YE12" s="87"/>
      <c r="YF12" s="87"/>
      <c r="YG12" s="87"/>
      <c r="YH12" s="87"/>
      <c r="YI12" s="87"/>
      <c r="YJ12" s="87"/>
      <c r="YK12" s="87"/>
      <c r="YL12" s="87"/>
      <c r="YM12" s="87"/>
      <c r="YN12" s="87"/>
      <c r="YO12" s="87"/>
      <c r="YP12" s="87"/>
      <c r="YQ12" s="87"/>
      <c r="YR12" s="87"/>
      <c r="YS12" s="87"/>
      <c r="YT12" s="87"/>
      <c r="YU12" s="87"/>
      <c r="YV12" s="87"/>
      <c r="YW12" s="87"/>
      <c r="YX12" s="87"/>
      <c r="YY12" s="87"/>
      <c r="YZ12" s="87"/>
      <c r="ZA12" s="87"/>
      <c r="ZB12" s="87"/>
      <c r="ZC12" s="87"/>
      <c r="ZD12" s="87"/>
      <c r="ZE12" s="87"/>
      <c r="ZF12" s="87"/>
      <c r="ZG12" s="87"/>
      <c r="ZH12" s="87"/>
      <c r="ZI12" s="87"/>
      <c r="ZJ12" s="87"/>
      <c r="ZK12" s="87"/>
      <c r="ZL12" s="87"/>
      <c r="ZM12" s="87"/>
      <c r="ZN12" s="87"/>
      <c r="ZO12" s="87"/>
      <c r="ZP12" s="87"/>
      <c r="ZQ12" s="87"/>
      <c r="ZR12" s="87"/>
      <c r="ZS12" s="87"/>
      <c r="ZT12" s="87"/>
      <c r="ZU12" s="87"/>
      <c r="ZV12" s="87"/>
      <c r="ZW12" s="87"/>
      <c r="ZX12" s="87"/>
      <c r="ZY12" s="87"/>
      <c r="ZZ12" s="87"/>
      <c r="AAA12" s="87"/>
      <c r="AAB12" s="87"/>
      <c r="AAC12" s="87"/>
      <c r="AAD12" s="87"/>
      <c r="AAE12" s="87"/>
      <c r="AAF12" s="87"/>
      <c r="AAG12" s="87"/>
      <c r="AAH12" s="87"/>
      <c r="AAI12" s="87"/>
      <c r="AAJ12" s="87"/>
      <c r="AAK12" s="87"/>
      <c r="AAL12" s="87"/>
      <c r="AAM12" s="87"/>
      <c r="AAN12" s="87"/>
      <c r="AAO12" s="87"/>
      <c r="AAP12" s="87"/>
      <c r="AAQ12" s="87"/>
      <c r="AAR12" s="87"/>
      <c r="AAS12" s="87"/>
      <c r="AAT12" s="87"/>
      <c r="AAU12" s="87"/>
      <c r="AAV12" s="87"/>
      <c r="AAW12" s="87"/>
      <c r="AAX12" s="87"/>
      <c r="AAY12" s="87"/>
      <c r="AAZ12" s="87"/>
      <c r="ABA12" s="87"/>
      <c r="ABB12" s="87"/>
      <c r="ABC12" s="87"/>
      <c r="ABD12" s="87"/>
      <c r="ABE12" s="87"/>
      <c r="ABF12" s="87"/>
      <c r="ABG12" s="87"/>
      <c r="ABH12" s="87"/>
      <c r="ABI12" s="87"/>
      <c r="ABJ12" s="87"/>
      <c r="ABK12" s="87"/>
      <c r="ABL12" s="87"/>
      <c r="ABM12" s="87"/>
      <c r="ABN12" s="87"/>
      <c r="ABO12" s="87"/>
      <c r="ABP12" s="87"/>
      <c r="ABQ12" s="87"/>
      <c r="ABR12" s="87"/>
      <c r="ABS12" s="87"/>
      <c r="ABT12" s="87"/>
      <c r="ABU12" s="87"/>
      <c r="ABV12" s="87"/>
      <c r="ABW12" s="87"/>
      <c r="ABX12" s="87"/>
      <c r="ABY12" s="87"/>
      <c r="ABZ12" s="87"/>
      <c r="ACA12" s="87"/>
      <c r="ACB12" s="87"/>
      <c r="ACC12" s="87"/>
      <c r="ACD12" s="87"/>
      <c r="ACE12" s="87"/>
      <c r="ACF12" s="87"/>
      <c r="ACG12" s="87"/>
      <c r="ACH12" s="87"/>
      <c r="ACI12" s="87"/>
      <c r="ACJ12" s="87"/>
      <c r="ACK12" s="87"/>
      <c r="ACL12" s="87"/>
      <c r="ACM12" s="87"/>
      <c r="ACN12" s="87"/>
      <c r="ACO12" s="87"/>
      <c r="ACP12" s="87"/>
      <c r="ACQ12" s="87"/>
      <c r="ACR12" s="87"/>
      <c r="ACS12" s="87"/>
      <c r="ACT12" s="87"/>
      <c r="ACU12" s="87"/>
      <c r="ACV12" s="87"/>
      <c r="ACW12" s="87"/>
      <c r="ACX12" s="87"/>
      <c r="ACY12" s="87"/>
      <c r="ACZ12" s="87"/>
      <c r="ADA12" s="87"/>
      <c r="ADB12" s="87"/>
      <c r="ADC12" s="87"/>
      <c r="ADD12" s="87"/>
      <c r="ADE12" s="87"/>
      <c r="ADF12" s="87"/>
      <c r="ADG12" s="87"/>
      <c r="ADH12" s="87"/>
      <c r="ADI12" s="87"/>
      <c r="ADJ12" s="87"/>
      <c r="ADK12" s="87"/>
      <c r="ADL12" s="87"/>
      <c r="ADM12" s="87"/>
      <c r="ADN12" s="87"/>
      <c r="ADO12" s="87"/>
      <c r="ADP12" s="87"/>
      <c r="ADQ12" s="87"/>
      <c r="ADR12" s="87"/>
      <c r="ADS12" s="87"/>
      <c r="ADT12" s="87"/>
      <c r="ADU12" s="87"/>
      <c r="ADV12" s="87"/>
      <c r="ADW12" s="87"/>
      <c r="ADX12" s="87"/>
      <c r="ADY12" s="87"/>
      <c r="ADZ12" s="87"/>
      <c r="AEA12" s="87"/>
      <c r="AEB12" s="87"/>
      <c r="AEC12" s="87"/>
      <c r="AED12" s="87"/>
      <c r="AEE12" s="87"/>
      <c r="AEF12" s="87"/>
      <c r="AEG12" s="87"/>
      <c r="AEH12" s="87"/>
      <c r="AEI12" s="87"/>
      <c r="AEJ12" s="87"/>
      <c r="AEK12" s="87"/>
      <c r="AEL12" s="87"/>
      <c r="AEM12" s="87"/>
      <c r="AEN12" s="87"/>
      <c r="AEO12" s="87"/>
      <c r="AEP12" s="87"/>
      <c r="AEQ12" s="87"/>
      <c r="AER12" s="87"/>
      <c r="AES12" s="87"/>
      <c r="AET12" s="87"/>
      <c r="AEU12" s="87"/>
      <c r="AEV12" s="87"/>
      <c r="AEW12" s="87"/>
      <c r="AEX12" s="87"/>
      <c r="AEY12" s="87"/>
      <c r="AEZ12" s="87"/>
      <c r="AFA12" s="87"/>
      <c r="AFB12" s="87"/>
      <c r="AFC12" s="87"/>
      <c r="AFD12" s="87"/>
      <c r="AFE12" s="87"/>
      <c r="AFF12" s="87"/>
      <c r="AFG12" s="87"/>
      <c r="AFH12" s="87"/>
      <c r="AFI12" s="87"/>
      <c r="AFJ12" s="87"/>
      <c r="AFK12" s="87"/>
      <c r="AFL12" s="87"/>
      <c r="AFM12" s="87"/>
      <c r="AFN12" s="87"/>
      <c r="AFO12" s="87"/>
      <c r="AFP12" s="87"/>
      <c r="AFQ12" s="87"/>
      <c r="AFR12" s="87"/>
      <c r="AFS12" s="87"/>
      <c r="AFT12" s="87"/>
      <c r="AFU12" s="87"/>
      <c r="AFV12" s="87"/>
      <c r="AFW12" s="87"/>
      <c r="AFX12" s="87"/>
      <c r="AFY12" s="87"/>
      <c r="AFZ12" s="87"/>
      <c r="AGA12" s="87"/>
      <c r="AGB12" s="87"/>
      <c r="AGC12" s="87"/>
      <c r="AGD12" s="87"/>
      <c r="AGE12" s="87"/>
      <c r="AGF12" s="87"/>
      <c r="AGG12" s="87"/>
      <c r="AGH12" s="87"/>
      <c r="AGI12" s="87"/>
      <c r="AGJ12" s="87"/>
      <c r="AGK12" s="87"/>
      <c r="AGL12" s="87"/>
      <c r="AGM12" s="87"/>
      <c r="AGN12" s="87"/>
      <c r="AGO12" s="87"/>
      <c r="AGP12" s="87"/>
      <c r="AGQ12" s="87"/>
      <c r="AGR12" s="87"/>
      <c r="AGS12" s="87"/>
      <c r="AGT12" s="87"/>
      <c r="AGU12" s="87"/>
      <c r="AGV12" s="87"/>
      <c r="AGW12" s="87"/>
      <c r="AGX12" s="87"/>
      <c r="AGY12" s="87"/>
      <c r="AGZ12" s="87"/>
      <c r="AHA12" s="87"/>
      <c r="AHB12" s="87"/>
      <c r="AHC12" s="87"/>
      <c r="AHD12" s="87"/>
      <c r="AHE12" s="87"/>
      <c r="AHF12" s="87"/>
      <c r="AHG12" s="87"/>
      <c r="AHH12" s="87"/>
      <c r="AHI12" s="87"/>
      <c r="AHJ12" s="87"/>
      <c r="AHK12" s="87"/>
      <c r="AHL12" s="87"/>
      <c r="AHM12" s="87"/>
      <c r="AHN12" s="87"/>
      <c r="AHO12" s="87"/>
      <c r="AHP12" s="87"/>
      <c r="AHQ12" s="87"/>
      <c r="AHR12" s="87"/>
      <c r="AHS12" s="87"/>
      <c r="AHT12" s="87"/>
      <c r="AHU12" s="87"/>
      <c r="AHV12" s="87"/>
      <c r="AHW12" s="87"/>
      <c r="AHX12" s="87"/>
      <c r="AHY12" s="87"/>
      <c r="AHZ12" s="87"/>
      <c r="AIA12" s="87"/>
      <c r="AIB12" s="87"/>
      <c r="AIC12" s="87"/>
      <c r="AID12" s="87"/>
      <c r="AIE12" s="87"/>
      <c r="AIF12" s="87"/>
      <c r="AIG12" s="87"/>
      <c r="AIH12" s="87"/>
      <c r="AII12" s="87"/>
      <c r="AIJ12" s="87"/>
      <c r="AIK12" s="87"/>
      <c r="AIL12" s="87"/>
      <c r="AIM12" s="87"/>
      <c r="AIN12" s="87"/>
      <c r="AIO12" s="87"/>
      <c r="AIP12" s="87"/>
      <c r="AIQ12" s="87"/>
      <c r="AIR12" s="87"/>
      <c r="AIS12" s="87"/>
      <c r="AIT12" s="87"/>
      <c r="AIU12" s="87"/>
      <c r="AIV12" s="87"/>
      <c r="AIW12" s="87"/>
      <c r="AIX12" s="87"/>
      <c r="AIY12" s="87"/>
      <c r="AIZ12" s="87"/>
      <c r="AJA12" s="87"/>
      <c r="AJB12" s="87"/>
      <c r="AJC12" s="87"/>
      <c r="AJD12" s="87"/>
      <c r="AJE12" s="87"/>
      <c r="AJF12" s="87"/>
      <c r="AJG12" s="87"/>
      <c r="AJH12" s="87"/>
      <c r="AJI12" s="87"/>
      <c r="AJJ12" s="87"/>
      <c r="AJK12" s="87"/>
      <c r="AJL12" s="87"/>
      <c r="AJM12" s="87"/>
      <c r="AJN12" s="87"/>
      <c r="AJO12" s="87"/>
      <c r="AJP12" s="87"/>
      <c r="AJQ12" s="87"/>
      <c r="AJR12" s="87"/>
      <c r="AJS12" s="87"/>
      <c r="AJT12" s="87"/>
      <c r="AJU12" s="87"/>
      <c r="AJV12" s="87"/>
      <c r="AJW12" s="87"/>
      <c r="AJX12" s="87"/>
      <c r="AJY12" s="87"/>
      <c r="AJZ12" s="87"/>
      <c r="AKA12" s="87"/>
      <c r="AKB12" s="87"/>
      <c r="AKC12" s="87"/>
      <c r="AKD12" s="87"/>
      <c r="AKE12" s="87"/>
      <c r="AKF12" s="87"/>
      <c r="AKG12" s="87"/>
      <c r="AKH12" s="87"/>
      <c r="AKI12" s="87"/>
      <c r="AKJ12" s="87"/>
      <c r="AKK12" s="87"/>
      <c r="AKL12" s="87"/>
      <c r="AKM12" s="87"/>
      <c r="AKN12" s="87"/>
      <c r="AKO12" s="87"/>
      <c r="AKP12" s="87"/>
      <c r="AKQ12" s="87"/>
      <c r="AKR12" s="87"/>
      <c r="AKS12" s="87"/>
      <c r="AKT12" s="87"/>
      <c r="AKU12" s="87"/>
      <c r="AKV12" s="87"/>
      <c r="AKW12" s="87"/>
      <c r="AKX12" s="87"/>
      <c r="AKY12" s="87"/>
      <c r="AKZ12" s="87"/>
      <c r="ALA12" s="87"/>
    </row>
    <row r="13" spans="1:989" ht="25.15" customHeight="1" x14ac:dyDescent="0.25">
      <c r="A13" s="216">
        <v>1</v>
      </c>
      <c r="B13" s="217"/>
      <c r="C13" s="99" t="s">
        <v>41</v>
      </c>
      <c r="D13" s="90" t="s">
        <v>4</v>
      </c>
      <c r="E13" s="91" t="s">
        <v>148</v>
      </c>
      <c r="F13" s="91" t="s">
        <v>96</v>
      </c>
      <c r="G13" s="100">
        <f>G24</f>
        <v>74.66</v>
      </c>
    </row>
    <row r="14" spans="1:989" ht="25.15" customHeight="1" x14ac:dyDescent="0.25">
      <c r="A14" s="92" t="s">
        <v>16</v>
      </c>
      <c r="B14" s="92" t="s">
        <v>0</v>
      </c>
      <c r="C14" s="92" t="s">
        <v>88</v>
      </c>
      <c r="D14" s="92" t="s">
        <v>5</v>
      </c>
      <c r="E14" s="92" t="s">
        <v>89</v>
      </c>
      <c r="F14" s="92" t="s">
        <v>90</v>
      </c>
      <c r="G14" s="93" t="s">
        <v>91</v>
      </c>
    </row>
    <row r="15" spans="1:989" ht="25.15" customHeight="1" x14ac:dyDescent="0.25">
      <c r="A15" s="89" t="s">
        <v>149</v>
      </c>
      <c r="B15" s="89" t="s">
        <v>97</v>
      </c>
      <c r="C15" s="101" t="s">
        <v>98</v>
      </c>
      <c r="D15" s="102" t="s">
        <v>99</v>
      </c>
      <c r="E15" s="103">
        <v>1</v>
      </c>
      <c r="F15" s="96">
        <v>16.13</v>
      </c>
      <c r="G15" s="104">
        <f t="shared" ref="G15:G23" si="0">ROUND(E15*F15,2)</f>
        <v>16.13</v>
      </c>
    </row>
    <row r="16" spans="1:989" ht="25.15" customHeight="1" x14ac:dyDescent="0.25">
      <c r="A16" s="89" t="s">
        <v>2</v>
      </c>
      <c r="B16" s="89">
        <v>88245</v>
      </c>
      <c r="C16" s="101" t="s">
        <v>100</v>
      </c>
      <c r="D16" s="102" t="s">
        <v>93</v>
      </c>
      <c r="E16" s="103">
        <f>0.0097*1.5</f>
        <v>1.455E-2</v>
      </c>
      <c r="F16" s="96">
        <v>29.01</v>
      </c>
      <c r="G16" s="104">
        <f t="shared" si="0"/>
        <v>0.42</v>
      </c>
    </row>
    <row r="17" spans="1:989" ht="25.15" customHeight="1" x14ac:dyDescent="0.25">
      <c r="A17" s="89" t="s">
        <v>2</v>
      </c>
      <c r="B17" s="89">
        <v>88238</v>
      </c>
      <c r="C17" s="101" t="s">
        <v>101</v>
      </c>
      <c r="D17" s="90" t="s">
        <v>93</v>
      </c>
      <c r="E17" s="95">
        <f>0.0194*1.5</f>
        <v>2.9100000000000001E-2</v>
      </c>
      <c r="F17" s="96">
        <v>27.28</v>
      </c>
      <c r="G17" s="104">
        <f t="shared" si="0"/>
        <v>0.79</v>
      </c>
    </row>
    <row r="18" spans="1:989" s="88" customFormat="1" ht="25.15" customHeight="1" x14ac:dyDescent="0.2">
      <c r="A18" s="89" t="s">
        <v>2</v>
      </c>
      <c r="B18" s="89">
        <v>88309</v>
      </c>
      <c r="C18" s="101" t="s">
        <v>92</v>
      </c>
      <c r="D18" s="94" t="s">
        <v>93</v>
      </c>
      <c r="E18" s="95">
        <v>9.8100000000000007E-2</v>
      </c>
      <c r="F18" s="96">
        <v>29.24</v>
      </c>
      <c r="G18" s="104">
        <f t="shared" si="0"/>
        <v>2.87</v>
      </c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  <c r="DM18" s="87"/>
      <c r="DN18" s="87"/>
      <c r="DO18" s="87"/>
      <c r="DP18" s="87"/>
      <c r="DQ18" s="87"/>
      <c r="DR18" s="87"/>
      <c r="DS18" s="87"/>
      <c r="DT18" s="87"/>
      <c r="DU18" s="87"/>
      <c r="DV18" s="87"/>
      <c r="DW18" s="87"/>
      <c r="DX18" s="87"/>
      <c r="DY18" s="87"/>
      <c r="DZ18" s="87"/>
      <c r="EA18" s="87"/>
      <c r="EB18" s="87"/>
      <c r="EC18" s="87"/>
      <c r="ED18" s="87"/>
      <c r="EE18" s="87"/>
      <c r="EF18" s="87"/>
      <c r="EG18" s="87"/>
      <c r="EH18" s="87"/>
      <c r="EI18" s="87"/>
      <c r="EJ18" s="87"/>
      <c r="EK18" s="87"/>
      <c r="EL18" s="87"/>
      <c r="EM18" s="87"/>
      <c r="EN18" s="87"/>
      <c r="EO18" s="87"/>
      <c r="EP18" s="87"/>
      <c r="EQ18" s="87"/>
      <c r="ER18" s="87"/>
      <c r="ES18" s="87"/>
      <c r="ET18" s="87"/>
      <c r="EU18" s="87"/>
      <c r="EV18" s="87"/>
      <c r="EW18" s="87"/>
      <c r="EX18" s="87"/>
      <c r="EY18" s="87"/>
      <c r="EZ18" s="87"/>
      <c r="FA18" s="87"/>
      <c r="FB18" s="87"/>
      <c r="FC18" s="87"/>
      <c r="FD18" s="87"/>
      <c r="FE18" s="87"/>
      <c r="FF18" s="87"/>
      <c r="FG18" s="87"/>
      <c r="FH18" s="87"/>
      <c r="FI18" s="87"/>
      <c r="FJ18" s="87"/>
      <c r="FK18" s="87"/>
      <c r="FL18" s="87"/>
      <c r="FM18" s="87"/>
      <c r="FN18" s="87"/>
      <c r="FO18" s="87"/>
      <c r="FP18" s="87"/>
      <c r="FQ18" s="87"/>
      <c r="FR18" s="87"/>
      <c r="FS18" s="87"/>
      <c r="FT18" s="87"/>
      <c r="FU18" s="87"/>
      <c r="FV18" s="87"/>
      <c r="FW18" s="87"/>
      <c r="FX18" s="87"/>
      <c r="FY18" s="87"/>
      <c r="FZ18" s="87"/>
      <c r="GA18" s="87"/>
      <c r="GB18" s="87"/>
      <c r="GC18" s="87"/>
      <c r="GD18" s="87"/>
      <c r="GE18" s="87"/>
      <c r="GF18" s="87"/>
      <c r="GG18" s="87"/>
      <c r="GH18" s="87"/>
      <c r="GI18" s="87"/>
      <c r="GJ18" s="87"/>
      <c r="GK18" s="87"/>
      <c r="GL18" s="87"/>
      <c r="GM18" s="87"/>
      <c r="GN18" s="87"/>
      <c r="GO18" s="87"/>
      <c r="GP18" s="87"/>
      <c r="GQ18" s="87"/>
      <c r="GR18" s="87"/>
      <c r="GS18" s="87"/>
      <c r="GT18" s="87"/>
      <c r="GU18" s="87"/>
      <c r="GV18" s="87"/>
      <c r="GW18" s="87"/>
      <c r="GX18" s="87"/>
      <c r="GY18" s="87"/>
      <c r="GZ18" s="87"/>
      <c r="HA18" s="87"/>
      <c r="HB18" s="87"/>
      <c r="HC18" s="87"/>
      <c r="HD18" s="87"/>
      <c r="HE18" s="87"/>
      <c r="HF18" s="87"/>
      <c r="HG18" s="87"/>
      <c r="HH18" s="87"/>
      <c r="HI18" s="87"/>
      <c r="HJ18" s="87"/>
      <c r="HK18" s="87"/>
      <c r="HL18" s="87"/>
      <c r="HM18" s="87"/>
      <c r="HN18" s="87"/>
      <c r="HO18" s="87"/>
      <c r="HP18" s="87"/>
      <c r="HQ18" s="87"/>
      <c r="HR18" s="87"/>
      <c r="HS18" s="87"/>
      <c r="HT18" s="87"/>
      <c r="HU18" s="87"/>
      <c r="HV18" s="87"/>
      <c r="HW18" s="87"/>
      <c r="HX18" s="87"/>
      <c r="HY18" s="87"/>
      <c r="HZ18" s="87"/>
      <c r="IA18" s="87"/>
      <c r="IB18" s="87"/>
      <c r="IC18" s="87"/>
      <c r="ID18" s="87"/>
      <c r="IE18" s="87"/>
      <c r="IF18" s="87"/>
      <c r="IG18" s="87"/>
      <c r="IH18" s="87"/>
      <c r="II18" s="87"/>
      <c r="IJ18" s="87"/>
      <c r="IK18" s="87"/>
      <c r="IL18" s="87"/>
      <c r="IM18" s="87"/>
      <c r="IN18" s="87"/>
      <c r="IO18" s="87"/>
      <c r="IP18" s="87"/>
      <c r="IQ18" s="87"/>
      <c r="IR18" s="87"/>
      <c r="IS18" s="87"/>
      <c r="IT18" s="87"/>
      <c r="IU18" s="87"/>
      <c r="IV18" s="87"/>
      <c r="IW18" s="87"/>
      <c r="IX18" s="87"/>
      <c r="IY18" s="87"/>
      <c r="IZ18" s="87"/>
      <c r="JA18" s="87"/>
      <c r="JB18" s="87"/>
      <c r="JC18" s="87"/>
      <c r="JD18" s="87"/>
      <c r="JE18" s="87"/>
      <c r="JF18" s="87"/>
      <c r="JG18" s="87"/>
      <c r="JH18" s="87"/>
      <c r="JI18" s="87"/>
      <c r="JJ18" s="87"/>
      <c r="JK18" s="87"/>
      <c r="JL18" s="87"/>
      <c r="JM18" s="87"/>
      <c r="JN18" s="87"/>
      <c r="JO18" s="87"/>
      <c r="JP18" s="87"/>
      <c r="JQ18" s="87"/>
      <c r="JR18" s="87"/>
      <c r="JS18" s="87"/>
      <c r="JT18" s="87"/>
      <c r="JU18" s="87"/>
      <c r="JV18" s="87"/>
      <c r="JW18" s="87"/>
      <c r="JX18" s="87"/>
      <c r="JY18" s="87"/>
      <c r="JZ18" s="87"/>
      <c r="KA18" s="87"/>
      <c r="KB18" s="87"/>
      <c r="KC18" s="87"/>
      <c r="KD18" s="87"/>
      <c r="KE18" s="87"/>
      <c r="KF18" s="87"/>
      <c r="KG18" s="87"/>
      <c r="KH18" s="87"/>
      <c r="KI18" s="87"/>
      <c r="KJ18" s="87"/>
      <c r="KK18" s="87"/>
      <c r="KL18" s="87"/>
      <c r="KM18" s="87"/>
      <c r="KN18" s="87"/>
      <c r="KO18" s="87"/>
      <c r="KP18" s="87"/>
      <c r="KQ18" s="87"/>
      <c r="KR18" s="87"/>
      <c r="KS18" s="87"/>
      <c r="KT18" s="87"/>
      <c r="KU18" s="87"/>
      <c r="KV18" s="87"/>
      <c r="KW18" s="87"/>
      <c r="KX18" s="87"/>
      <c r="KY18" s="87"/>
      <c r="KZ18" s="87"/>
      <c r="LA18" s="87"/>
      <c r="LB18" s="87"/>
      <c r="LC18" s="87"/>
      <c r="LD18" s="87"/>
      <c r="LE18" s="87"/>
      <c r="LF18" s="87"/>
      <c r="LG18" s="87"/>
      <c r="LH18" s="87"/>
      <c r="LI18" s="87"/>
      <c r="LJ18" s="87"/>
      <c r="LK18" s="87"/>
      <c r="LL18" s="87"/>
      <c r="LM18" s="87"/>
      <c r="LN18" s="87"/>
      <c r="LO18" s="87"/>
      <c r="LP18" s="87"/>
      <c r="LQ18" s="87"/>
      <c r="LR18" s="87"/>
      <c r="LS18" s="87"/>
      <c r="LT18" s="87"/>
      <c r="LU18" s="87"/>
      <c r="LV18" s="87"/>
      <c r="LW18" s="87"/>
      <c r="LX18" s="87"/>
      <c r="LY18" s="87"/>
      <c r="LZ18" s="87"/>
      <c r="MA18" s="87"/>
      <c r="MB18" s="87"/>
      <c r="MC18" s="87"/>
      <c r="MD18" s="87"/>
      <c r="ME18" s="87"/>
      <c r="MF18" s="87"/>
      <c r="MG18" s="87"/>
      <c r="MH18" s="87"/>
      <c r="MI18" s="87"/>
      <c r="MJ18" s="87"/>
      <c r="MK18" s="87"/>
      <c r="ML18" s="87"/>
      <c r="MM18" s="87"/>
      <c r="MN18" s="87"/>
      <c r="MO18" s="87"/>
      <c r="MP18" s="87"/>
      <c r="MQ18" s="87"/>
      <c r="MR18" s="87"/>
      <c r="MS18" s="87"/>
      <c r="MT18" s="87"/>
      <c r="MU18" s="87"/>
      <c r="MV18" s="87"/>
      <c r="MW18" s="87"/>
      <c r="MX18" s="87"/>
      <c r="MY18" s="87"/>
      <c r="MZ18" s="87"/>
      <c r="NA18" s="87"/>
      <c r="NB18" s="87"/>
      <c r="NC18" s="87"/>
      <c r="ND18" s="87"/>
      <c r="NE18" s="87"/>
      <c r="NF18" s="87"/>
      <c r="NG18" s="87"/>
      <c r="NH18" s="87"/>
      <c r="NI18" s="87"/>
      <c r="NJ18" s="87"/>
      <c r="NK18" s="87"/>
      <c r="NL18" s="87"/>
      <c r="NM18" s="87"/>
      <c r="NN18" s="87"/>
      <c r="NO18" s="87"/>
      <c r="NP18" s="87"/>
      <c r="NQ18" s="87"/>
      <c r="NR18" s="87"/>
      <c r="NS18" s="87"/>
      <c r="NT18" s="87"/>
      <c r="NU18" s="87"/>
      <c r="NV18" s="87"/>
      <c r="NW18" s="87"/>
      <c r="NX18" s="87"/>
      <c r="NY18" s="87"/>
      <c r="NZ18" s="87"/>
      <c r="OA18" s="87"/>
      <c r="OB18" s="87"/>
      <c r="OC18" s="87"/>
      <c r="OD18" s="87"/>
      <c r="OE18" s="87"/>
      <c r="OF18" s="87"/>
      <c r="OG18" s="87"/>
      <c r="OH18" s="87"/>
      <c r="OI18" s="87"/>
      <c r="OJ18" s="87"/>
      <c r="OK18" s="87"/>
      <c r="OL18" s="87"/>
      <c r="OM18" s="87"/>
      <c r="ON18" s="87"/>
      <c r="OO18" s="87"/>
      <c r="OP18" s="87"/>
      <c r="OQ18" s="87"/>
      <c r="OR18" s="87"/>
      <c r="OS18" s="87"/>
      <c r="OT18" s="87"/>
      <c r="OU18" s="87"/>
      <c r="OV18" s="87"/>
      <c r="OW18" s="87"/>
      <c r="OX18" s="87"/>
      <c r="OY18" s="87"/>
      <c r="OZ18" s="87"/>
      <c r="PA18" s="87"/>
      <c r="PB18" s="87"/>
      <c r="PC18" s="87"/>
      <c r="PD18" s="87"/>
      <c r="PE18" s="87"/>
      <c r="PF18" s="87"/>
      <c r="PG18" s="87"/>
      <c r="PH18" s="87"/>
      <c r="PI18" s="87"/>
      <c r="PJ18" s="87"/>
      <c r="PK18" s="87"/>
      <c r="PL18" s="87"/>
      <c r="PM18" s="87"/>
      <c r="PN18" s="87"/>
      <c r="PO18" s="87"/>
      <c r="PP18" s="87"/>
      <c r="PQ18" s="87"/>
      <c r="PR18" s="87"/>
      <c r="PS18" s="87"/>
      <c r="PT18" s="87"/>
      <c r="PU18" s="87"/>
      <c r="PV18" s="87"/>
      <c r="PW18" s="87"/>
      <c r="PX18" s="87"/>
      <c r="PY18" s="87"/>
      <c r="PZ18" s="87"/>
      <c r="QA18" s="87"/>
      <c r="QB18" s="87"/>
      <c r="QC18" s="87"/>
      <c r="QD18" s="87"/>
      <c r="QE18" s="87"/>
      <c r="QF18" s="87"/>
      <c r="QG18" s="87"/>
      <c r="QH18" s="87"/>
      <c r="QI18" s="87"/>
      <c r="QJ18" s="87"/>
      <c r="QK18" s="87"/>
      <c r="QL18" s="87"/>
      <c r="QM18" s="87"/>
      <c r="QN18" s="87"/>
      <c r="QO18" s="87"/>
      <c r="QP18" s="87"/>
      <c r="QQ18" s="87"/>
      <c r="QR18" s="87"/>
      <c r="QS18" s="87"/>
      <c r="QT18" s="87"/>
      <c r="QU18" s="87"/>
      <c r="QV18" s="87"/>
      <c r="QW18" s="87"/>
      <c r="QX18" s="87"/>
      <c r="QY18" s="87"/>
      <c r="QZ18" s="87"/>
      <c r="RA18" s="87"/>
      <c r="RB18" s="87"/>
      <c r="RC18" s="87"/>
      <c r="RD18" s="87"/>
      <c r="RE18" s="87"/>
      <c r="RF18" s="87"/>
      <c r="RG18" s="87"/>
      <c r="RH18" s="87"/>
      <c r="RI18" s="87"/>
      <c r="RJ18" s="87"/>
      <c r="RK18" s="87"/>
      <c r="RL18" s="87"/>
      <c r="RM18" s="87"/>
      <c r="RN18" s="87"/>
      <c r="RO18" s="87"/>
      <c r="RP18" s="87"/>
      <c r="RQ18" s="87"/>
      <c r="RR18" s="87"/>
      <c r="RS18" s="87"/>
      <c r="RT18" s="87"/>
      <c r="RU18" s="87"/>
      <c r="RV18" s="87"/>
      <c r="RW18" s="87"/>
      <c r="RX18" s="87"/>
      <c r="RY18" s="87"/>
      <c r="RZ18" s="87"/>
      <c r="SA18" s="87"/>
      <c r="SB18" s="87"/>
      <c r="SC18" s="87"/>
      <c r="SD18" s="87"/>
      <c r="SE18" s="87"/>
      <c r="SF18" s="87"/>
      <c r="SG18" s="87"/>
      <c r="SH18" s="87"/>
      <c r="SI18" s="87"/>
      <c r="SJ18" s="87"/>
      <c r="SK18" s="87"/>
      <c r="SL18" s="87"/>
      <c r="SM18" s="87"/>
      <c r="SN18" s="87"/>
      <c r="SO18" s="87"/>
      <c r="SP18" s="87"/>
      <c r="SQ18" s="87"/>
      <c r="SR18" s="87"/>
      <c r="SS18" s="87"/>
      <c r="ST18" s="87"/>
      <c r="SU18" s="87"/>
      <c r="SV18" s="87"/>
      <c r="SW18" s="87"/>
      <c r="SX18" s="87"/>
      <c r="SY18" s="87"/>
      <c r="SZ18" s="87"/>
      <c r="TA18" s="87"/>
      <c r="TB18" s="87"/>
      <c r="TC18" s="87"/>
      <c r="TD18" s="87"/>
      <c r="TE18" s="87"/>
      <c r="TF18" s="87"/>
      <c r="TG18" s="87"/>
      <c r="TH18" s="87"/>
      <c r="TI18" s="87"/>
      <c r="TJ18" s="87"/>
      <c r="TK18" s="87"/>
      <c r="TL18" s="87"/>
      <c r="TM18" s="87"/>
      <c r="TN18" s="87"/>
      <c r="TO18" s="87"/>
      <c r="TP18" s="87"/>
      <c r="TQ18" s="87"/>
      <c r="TR18" s="87"/>
      <c r="TS18" s="87"/>
      <c r="TT18" s="87"/>
      <c r="TU18" s="87"/>
      <c r="TV18" s="87"/>
      <c r="TW18" s="87"/>
      <c r="TX18" s="87"/>
      <c r="TY18" s="87"/>
      <c r="TZ18" s="87"/>
      <c r="UA18" s="87"/>
      <c r="UB18" s="87"/>
      <c r="UC18" s="87"/>
      <c r="UD18" s="87"/>
      <c r="UE18" s="87"/>
      <c r="UF18" s="87"/>
      <c r="UG18" s="87"/>
      <c r="UH18" s="87"/>
      <c r="UI18" s="87"/>
      <c r="UJ18" s="87"/>
      <c r="UK18" s="87"/>
      <c r="UL18" s="87"/>
      <c r="UM18" s="87"/>
      <c r="UN18" s="87"/>
      <c r="UO18" s="87"/>
      <c r="UP18" s="87"/>
      <c r="UQ18" s="87"/>
      <c r="UR18" s="87"/>
      <c r="US18" s="87"/>
      <c r="UT18" s="87"/>
      <c r="UU18" s="87"/>
      <c r="UV18" s="87"/>
      <c r="UW18" s="87"/>
      <c r="UX18" s="87"/>
      <c r="UY18" s="87"/>
      <c r="UZ18" s="87"/>
      <c r="VA18" s="87"/>
      <c r="VB18" s="87"/>
      <c r="VC18" s="87"/>
      <c r="VD18" s="87"/>
      <c r="VE18" s="87"/>
      <c r="VF18" s="87"/>
      <c r="VG18" s="87"/>
      <c r="VH18" s="87"/>
      <c r="VI18" s="87"/>
      <c r="VJ18" s="87"/>
      <c r="VK18" s="87"/>
      <c r="VL18" s="87"/>
      <c r="VM18" s="87"/>
      <c r="VN18" s="87"/>
      <c r="VO18" s="87"/>
      <c r="VP18" s="87"/>
      <c r="VQ18" s="87"/>
      <c r="VR18" s="87"/>
      <c r="VS18" s="87"/>
      <c r="VT18" s="87"/>
      <c r="VU18" s="87"/>
      <c r="VV18" s="87"/>
      <c r="VW18" s="87"/>
      <c r="VX18" s="87"/>
      <c r="VY18" s="87"/>
      <c r="VZ18" s="87"/>
      <c r="WA18" s="87"/>
      <c r="WB18" s="87"/>
      <c r="WC18" s="87"/>
      <c r="WD18" s="87"/>
      <c r="WE18" s="87"/>
      <c r="WF18" s="87"/>
      <c r="WG18" s="87"/>
      <c r="WH18" s="87"/>
      <c r="WI18" s="87"/>
      <c r="WJ18" s="87"/>
      <c r="WK18" s="87"/>
      <c r="WL18" s="87"/>
      <c r="WM18" s="87"/>
      <c r="WN18" s="87"/>
      <c r="WO18" s="87"/>
      <c r="WP18" s="87"/>
      <c r="WQ18" s="87"/>
      <c r="WR18" s="87"/>
      <c r="WS18" s="87"/>
      <c r="WT18" s="87"/>
      <c r="WU18" s="87"/>
      <c r="WV18" s="87"/>
      <c r="WW18" s="87"/>
      <c r="WX18" s="87"/>
      <c r="WY18" s="87"/>
      <c r="WZ18" s="87"/>
      <c r="XA18" s="87"/>
      <c r="XB18" s="87"/>
      <c r="XC18" s="87"/>
      <c r="XD18" s="87"/>
      <c r="XE18" s="87"/>
      <c r="XF18" s="87"/>
      <c r="XG18" s="87"/>
      <c r="XH18" s="87"/>
      <c r="XI18" s="87"/>
      <c r="XJ18" s="87"/>
      <c r="XK18" s="87"/>
      <c r="XL18" s="87"/>
      <c r="XM18" s="87"/>
      <c r="XN18" s="87"/>
      <c r="XO18" s="87"/>
      <c r="XP18" s="87"/>
      <c r="XQ18" s="87"/>
      <c r="XR18" s="87"/>
      <c r="XS18" s="87"/>
      <c r="XT18" s="87"/>
      <c r="XU18" s="87"/>
      <c r="XV18" s="87"/>
      <c r="XW18" s="87"/>
      <c r="XX18" s="87"/>
      <c r="XY18" s="87"/>
      <c r="XZ18" s="87"/>
      <c r="YA18" s="87"/>
      <c r="YB18" s="87"/>
      <c r="YC18" s="87"/>
      <c r="YD18" s="87"/>
      <c r="YE18" s="87"/>
      <c r="YF18" s="87"/>
      <c r="YG18" s="87"/>
      <c r="YH18" s="87"/>
      <c r="YI18" s="87"/>
      <c r="YJ18" s="87"/>
      <c r="YK18" s="87"/>
      <c r="YL18" s="87"/>
      <c r="YM18" s="87"/>
      <c r="YN18" s="87"/>
      <c r="YO18" s="87"/>
      <c r="YP18" s="87"/>
      <c r="YQ18" s="87"/>
      <c r="YR18" s="87"/>
      <c r="YS18" s="87"/>
      <c r="YT18" s="87"/>
      <c r="YU18" s="87"/>
      <c r="YV18" s="87"/>
      <c r="YW18" s="87"/>
      <c r="YX18" s="87"/>
      <c r="YY18" s="87"/>
      <c r="YZ18" s="87"/>
      <c r="ZA18" s="87"/>
      <c r="ZB18" s="87"/>
      <c r="ZC18" s="87"/>
      <c r="ZD18" s="87"/>
      <c r="ZE18" s="87"/>
      <c r="ZF18" s="87"/>
      <c r="ZG18" s="87"/>
      <c r="ZH18" s="87"/>
      <c r="ZI18" s="87"/>
      <c r="ZJ18" s="87"/>
      <c r="ZK18" s="87"/>
      <c r="ZL18" s="87"/>
      <c r="ZM18" s="87"/>
      <c r="ZN18" s="87"/>
      <c r="ZO18" s="87"/>
      <c r="ZP18" s="87"/>
      <c r="ZQ18" s="87"/>
      <c r="ZR18" s="87"/>
      <c r="ZS18" s="87"/>
      <c r="ZT18" s="87"/>
      <c r="ZU18" s="87"/>
      <c r="ZV18" s="87"/>
      <c r="ZW18" s="87"/>
      <c r="ZX18" s="87"/>
      <c r="ZY18" s="87"/>
      <c r="ZZ18" s="87"/>
      <c r="AAA18" s="87"/>
      <c r="AAB18" s="87"/>
      <c r="AAC18" s="87"/>
      <c r="AAD18" s="87"/>
      <c r="AAE18" s="87"/>
      <c r="AAF18" s="87"/>
      <c r="AAG18" s="87"/>
      <c r="AAH18" s="87"/>
      <c r="AAI18" s="87"/>
      <c r="AAJ18" s="87"/>
      <c r="AAK18" s="87"/>
      <c r="AAL18" s="87"/>
      <c r="AAM18" s="87"/>
      <c r="AAN18" s="87"/>
      <c r="AAO18" s="87"/>
      <c r="AAP18" s="87"/>
      <c r="AAQ18" s="87"/>
      <c r="AAR18" s="87"/>
      <c r="AAS18" s="87"/>
      <c r="AAT18" s="87"/>
      <c r="AAU18" s="87"/>
      <c r="AAV18" s="87"/>
      <c r="AAW18" s="87"/>
      <c r="AAX18" s="87"/>
      <c r="AAY18" s="87"/>
      <c r="AAZ18" s="87"/>
      <c r="ABA18" s="87"/>
      <c r="ABB18" s="87"/>
      <c r="ABC18" s="87"/>
      <c r="ABD18" s="87"/>
      <c r="ABE18" s="87"/>
      <c r="ABF18" s="87"/>
      <c r="ABG18" s="87"/>
      <c r="ABH18" s="87"/>
      <c r="ABI18" s="87"/>
      <c r="ABJ18" s="87"/>
      <c r="ABK18" s="87"/>
      <c r="ABL18" s="87"/>
      <c r="ABM18" s="87"/>
      <c r="ABN18" s="87"/>
      <c r="ABO18" s="87"/>
      <c r="ABP18" s="87"/>
      <c r="ABQ18" s="87"/>
      <c r="ABR18" s="87"/>
      <c r="ABS18" s="87"/>
      <c r="ABT18" s="87"/>
      <c r="ABU18" s="87"/>
      <c r="ABV18" s="87"/>
      <c r="ABW18" s="87"/>
      <c r="ABX18" s="87"/>
      <c r="ABY18" s="87"/>
      <c r="ABZ18" s="87"/>
      <c r="ACA18" s="87"/>
      <c r="ACB18" s="87"/>
      <c r="ACC18" s="87"/>
      <c r="ACD18" s="87"/>
      <c r="ACE18" s="87"/>
      <c r="ACF18" s="87"/>
      <c r="ACG18" s="87"/>
      <c r="ACH18" s="87"/>
      <c r="ACI18" s="87"/>
      <c r="ACJ18" s="87"/>
      <c r="ACK18" s="87"/>
      <c r="ACL18" s="87"/>
      <c r="ACM18" s="87"/>
      <c r="ACN18" s="87"/>
      <c r="ACO18" s="87"/>
      <c r="ACP18" s="87"/>
      <c r="ACQ18" s="87"/>
      <c r="ACR18" s="87"/>
      <c r="ACS18" s="87"/>
      <c r="ACT18" s="87"/>
      <c r="ACU18" s="87"/>
      <c r="ACV18" s="87"/>
      <c r="ACW18" s="87"/>
      <c r="ACX18" s="87"/>
      <c r="ACY18" s="87"/>
      <c r="ACZ18" s="87"/>
      <c r="ADA18" s="87"/>
      <c r="ADB18" s="87"/>
      <c r="ADC18" s="87"/>
      <c r="ADD18" s="87"/>
      <c r="ADE18" s="87"/>
      <c r="ADF18" s="87"/>
      <c r="ADG18" s="87"/>
      <c r="ADH18" s="87"/>
      <c r="ADI18" s="87"/>
      <c r="ADJ18" s="87"/>
      <c r="ADK18" s="87"/>
      <c r="ADL18" s="87"/>
      <c r="ADM18" s="87"/>
      <c r="ADN18" s="87"/>
      <c r="ADO18" s="87"/>
      <c r="ADP18" s="87"/>
      <c r="ADQ18" s="87"/>
      <c r="ADR18" s="87"/>
      <c r="ADS18" s="87"/>
      <c r="ADT18" s="87"/>
      <c r="ADU18" s="87"/>
      <c r="ADV18" s="87"/>
      <c r="ADW18" s="87"/>
      <c r="ADX18" s="87"/>
      <c r="ADY18" s="87"/>
      <c r="ADZ18" s="87"/>
      <c r="AEA18" s="87"/>
      <c r="AEB18" s="87"/>
      <c r="AEC18" s="87"/>
      <c r="AED18" s="87"/>
      <c r="AEE18" s="87"/>
      <c r="AEF18" s="87"/>
      <c r="AEG18" s="87"/>
      <c r="AEH18" s="87"/>
      <c r="AEI18" s="87"/>
      <c r="AEJ18" s="87"/>
      <c r="AEK18" s="87"/>
      <c r="AEL18" s="87"/>
      <c r="AEM18" s="87"/>
      <c r="AEN18" s="87"/>
      <c r="AEO18" s="87"/>
      <c r="AEP18" s="87"/>
      <c r="AEQ18" s="87"/>
      <c r="AER18" s="87"/>
      <c r="AES18" s="87"/>
      <c r="AET18" s="87"/>
      <c r="AEU18" s="87"/>
      <c r="AEV18" s="87"/>
      <c r="AEW18" s="87"/>
      <c r="AEX18" s="87"/>
      <c r="AEY18" s="87"/>
      <c r="AEZ18" s="87"/>
      <c r="AFA18" s="87"/>
      <c r="AFB18" s="87"/>
      <c r="AFC18" s="87"/>
      <c r="AFD18" s="87"/>
      <c r="AFE18" s="87"/>
      <c r="AFF18" s="87"/>
      <c r="AFG18" s="87"/>
      <c r="AFH18" s="87"/>
      <c r="AFI18" s="87"/>
      <c r="AFJ18" s="87"/>
      <c r="AFK18" s="87"/>
      <c r="AFL18" s="87"/>
      <c r="AFM18" s="87"/>
      <c r="AFN18" s="87"/>
      <c r="AFO18" s="87"/>
      <c r="AFP18" s="87"/>
      <c r="AFQ18" s="87"/>
      <c r="AFR18" s="87"/>
      <c r="AFS18" s="87"/>
      <c r="AFT18" s="87"/>
      <c r="AFU18" s="87"/>
      <c r="AFV18" s="87"/>
      <c r="AFW18" s="87"/>
      <c r="AFX18" s="87"/>
      <c r="AFY18" s="87"/>
      <c r="AFZ18" s="87"/>
      <c r="AGA18" s="87"/>
      <c r="AGB18" s="87"/>
      <c r="AGC18" s="87"/>
      <c r="AGD18" s="87"/>
      <c r="AGE18" s="87"/>
      <c r="AGF18" s="87"/>
      <c r="AGG18" s="87"/>
      <c r="AGH18" s="87"/>
      <c r="AGI18" s="87"/>
      <c r="AGJ18" s="87"/>
      <c r="AGK18" s="87"/>
      <c r="AGL18" s="87"/>
      <c r="AGM18" s="87"/>
      <c r="AGN18" s="87"/>
      <c r="AGO18" s="87"/>
      <c r="AGP18" s="87"/>
      <c r="AGQ18" s="87"/>
      <c r="AGR18" s="87"/>
      <c r="AGS18" s="87"/>
      <c r="AGT18" s="87"/>
      <c r="AGU18" s="87"/>
      <c r="AGV18" s="87"/>
      <c r="AGW18" s="87"/>
      <c r="AGX18" s="87"/>
      <c r="AGY18" s="87"/>
      <c r="AGZ18" s="87"/>
      <c r="AHA18" s="87"/>
      <c r="AHB18" s="87"/>
      <c r="AHC18" s="87"/>
      <c r="AHD18" s="87"/>
      <c r="AHE18" s="87"/>
      <c r="AHF18" s="87"/>
      <c r="AHG18" s="87"/>
      <c r="AHH18" s="87"/>
      <c r="AHI18" s="87"/>
      <c r="AHJ18" s="87"/>
      <c r="AHK18" s="87"/>
      <c r="AHL18" s="87"/>
      <c r="AHM18" s="87"/>
      <c r="AHN18" s="87"/>
      <c r="AHO18" s="87"/>
      <c r="AHP18" s="87"/>
      <c r="AHQ18" s="87"/>
      <c r="AHR18" s="87"/>
      <c r="AHS18" s="87"/>
      <c r="AHT18" s="87"/>
      <c r="AHU18" s="87"/>
      <c r="AHV18" s="87"/>
      <c r="AHW18" s="87"/>
      <c r="AHX18" s="87"/>
      <c r="AHY18" s="87"/>
      <c r="AHZ18" s="87"/>
      <c r="AIA18" s="87"/>
      <c r="AIB18" s="87"/>
      <c r="AIC18" s="87"/>
      <c r="AID18" s="87"/>
      <c r="AIE18" s="87"/>
      <c r="AIF18" s="87"/>
      <c r="AIG18" s="87"/>
      <c r="AIH18" s="87"/>
      <c r="AII18" s="87"/>
      <c r="AIJ18" s="87"/>
      <c r="AIK18" s="87"/>
      <c r="AIL18" s="87"/>
      <c r="AIM18" s="87"/>
      <c r="AIN18" s="87"/>
      <c r="AIO18" s="87"/>
      <c r="AIP18" s="87"/>
      <c r="AIQ18" s="87"/>
      <c r="AIR18" s="87"/>
      <c r="AIS18" s="87"/>
      <c r="AIT18" s="87"/>
      <c r="AIU18" s="87"/>
      <c r="AIV18" s="87"/>
      <c r="AIW18" s="87"/>
      <c r="AIX18" s="87"/>
      <c r="AIY18" s="87"/>
      <c r="AIZ18" s="87"/>
      <c r="AJA18" s="87"/>
      <c r="AJB18" s="87"/>
      <c r="AJC18" s="87"/>
      <c r="AJD18" s="87"/>
      <c r="AJE18" s="87"/>
      <c r="AJF18" s="87"/>
      <c r="AJG18" s="87"/>
      <c r="AJH18" s="87"/>
      <c r="AJI18" s="87"/>
      <c r="AJJ18" s="87"/>
      <c r="AJK18" s="87"/>
      <c r="AJL18" s="87"/>
      <c r="AJM18" s="87"/>
      <c r="AJN18" s="87"/>
      <c r="AJO18" s="87"/>
      <c r="AJP18" s="87"/>
      <c r="AJQ18" s="87"/>
      <c r="AJR18" s="87"/>
      <c r="AJS18" s="87"/>
      <c r="AJT18" s="87"/>
      <c r="AJU18" s="87"/>
      <c r="AJV18" s="87"/>
      <c r="AJW18" s="87"/>
      <c r="AJX18" s="87"/>
      <c r="AJY18" s="87"/>
      <c r="AJZ18" s="87"/>
      <c r="AKA18" s="87"/>
      <c r="AKB18" s="87"/>
      <c r="AKC18" s="87"/>
      <c r="AKD18" s="87"/>
      <c r="AKE18" s="87"/>
      <c r="AKF18" s="87"/>
      <c r="AKG18" s="87"/>
      <c r="AKH18" s="87"/>
      <c r="AKI18" s="87"/>
      <c r="AKJ18" s="87"/>
      <c r="AKK18" s="87"/>
      <c r="AKL18" s="87"/>
      <c r="AKM18" s="87"/>
      <c r="AKN18" s="87"/>
      <c r="AKO18" s="87"/>
      <c r="AKP18" s="87"/>
      <c r="AKQ18" s="87"/>
      <c r="AKR18" s="87"/>
      <c r="AKS18" s="87"/>
      <c r="AKT18" s="87"/>
      <c r="AKU18" s="87"/>
      <c r="AKV18" s="87"/>
      <c r="AKW18" s="87"/>
      <c r="AKX18" s="87"/>
      <c r="AKY18" s="87"/>
      <c r="AKZ18" s="87"/>
      <c r="ALA18" s="87"/>
    </row>
    <row r="19" spans="1:989" ht="25.15" customHeight="1" x14ac:dyDescent="0.25">
      <c r="A19" s="89" t="s">
        <v>2</v>
      </c>
      <c r="B19" s="89">
        <v>88316</v>
      </c>
      <c r="C19" s="101" t="s">
        <v>94</v>
      </c>
      <c r="D19" s="94" t="s">
        <v>93</v>
      </c>
      <c r="E19" s="103">
        <v>0.58879999999999999</v>
      </c>
      <c r="F19" s="96">
        <v>25.43</v>
      </c>
      <c r="G19" s="104">
        <f t="shared" si="0"/>
        <v>14.97</v>
      </c>
    </row>
    <row r="20" spans="1:989" ht="25.15" customHeight="1" x14ac:dyDescent="0.25">
      <c r="A20" s="89" t="s">
        <v>149</v>
      </c>
      <c r="B20" s="89" t="s">
        <v>102</v>
      </c>
      <c r="C20" s="101" t="s">
        <v>103</v>
      </c>
      <c r="D20" s="90" t="s">
        <v>104</v>
      </c>
      <c r="E20" s="95">
        <f>(3.5*6*0.617)/6</f>
        <v>2.1595</v>
      </c>
      <c r="F20" s="96">
        <v>7.36</v>
      </c>
      <c r="G20" s="104">
        <f t="shared" si="0"/>
        <v>15.89</v>
      </c>
      <c r="I20" s="97"/>
    </row>
    <row r="21" spans="1:989" s="88" customFormat="1" ht="25.15" customHeight="1" x14ac:dyDescent="0.2">
      <c r="A21" s="89" t="s">
        <v>149</v>
      </c>
      <c r="B21" s="89" t="s">
        <v>105</v>
      </c>
      <c r="C21" s="101" t="s">
        <v>106</v>
      </c>
      <c r="D21" s="90" t="s">
        <v>104</v>
      </c>
      <c r="E21" s="95">
        <f>(10*0.66*0.154)/6</f>
        <v>0.1694</v>
      </c>
      <c r="F21" s="96">
        <v>7.7</v>
      </c>
      <c r="G21" s="104">
        <f t="shared" si="0"/>
        <v>1.3</v>
      </c>
      <c r="H21" s="70"/>
      <c r="I21" s="9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7"/>
      <c r="BP21" s="87"/>
      <c r="BQ21" s="87"/>
      <c r="BR21" s="87"/>
      <c r="BS21" s="87"/>
      <c r="BT21" s="87"/>
      <c r="BU21" s="87"/>
      <c r="BV21" s="87"/>
      <c r="BW21" s="87"/>
      <c r="BX21" s="87"/>
      <c r="BY21" s="87"/>
      <c r="BZ21" s="87"/>
      <c r="CA21" s="87"/>
      <c r="CB21" s="87"/>
      <c r="CC21" s="87"/>
      <c r="CD21" s="87"/>
      <c r="CE21" s="87"/>
      <c r="CF21" s="87"/>
      <c r="CG21" s="87"/>
      <c r="CH21" s="87"/>
      <c r="CI21" s="87"/>
      <c r="CJ21" s="87"/>
      <c r="CK21" s="87"/>
      <c r="CL21" s="87"/>
      <c r="CM21" s="87"/>
      <c r="CN21" s="87"/>
      <c r="CO21" s="87"/>
      <c r="CP21" s="87"/>
      <c r="CQ21" s="87"/>
      <c r="CR21" s="87"/>
      <c r="CS21" s="87"/>
      <c r="CT21" s="87"/>
      <c r="CU21" s="87"/>
      <c r="CV21" s="87"/>
      <c r="CW21" s="87"/>
      <c r="CX21" s="87"/>
      <c r="CY21" s="87"/>
      <c r="CZ21" s="87"/>
      <c r="DA21" s="87"/>
      <c r="DB21" s="87"/>
      <c r="DC21" s="87"/>
      <c r="DD21" s="87"/>
      <c r="DE21" s="87"/>
      <c r="DF21" s="87"/>
      <c r="DG21" s="87"/>
      <c r="DH21" s="87"/>
      <c r="DI21" s="87"/>
      <c r="DJ21" s="87"/>
      <c r="DK21" s="87"/>
      <c r="DL21" s="87"/>
      <c r="DM21" s="87"/>
      <c r="DN21" s="87"/>
      <c r="DO21" s="87"/>
      <c r="DP21" s="87"/>
      <c r="DQ21" s="87"/>
      <c r="DR21" s="87"/>
      <c r="DS21" s="87"/>
      <c r="DT21" s="87"/>
      <c r="DU21" s="87"/>
      <c r="DV21" s="87"/>
      <c r="DW21" s="87"/>
      <c r="DX21" s="87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7"/>
      <c r="EK21" s="87"/>
      <c r="EL21" s="87"/>
      <c r="EM21" s="87"/>
      <c r="EN21" s="87"/>
      <c r="EO21" s="87"/>
      <c r="EP21" s="87"/>
      <c r="EQ21" s="87"/>
      <c r="ER21" s="87"/>
      <c r="ES21" s="87"/>
      <c r="ET21" s="87"/>
      <c r="EU21" s="87"/>
      <c r="EV21" s="87"/>
      <c r="EW21" s="87"/>
      <c r="EX21" s="87"/>
      <c r="EY21" s="87"/>
      <c r="EZ21" s="87"/>
      <c r="FA21" s="87"/>
      <c r="FB21" s="87"/>
      <c r="FC21" s="87"/>
      <c r="FD21" s="87"/>
      <c r="FE21" s="87"/>
      <c r="FF21" s="87"/>
      <c r="FG21" s="87"/>
      <c r="FH21" s="87"/>
      <c r="FI21" s="87"/>
      <c r="FJ21" s="87"/>
      <c r="FK21" s="87"/>
      <c r="FL21" s="87"/>
      <c r="FM21" s="87"/>
      <c r="FN21" s="87"/>
      <c r="FO21" s="87"/>
      <c r="FP21" s="87"/>
      <c r="FQ21" s="87"/>
      <c r="FR21" s="87"/>
      <c r="FS21" s="87"/>
      <c r="FT21" s="87"/>
      <c r="FU21" s="87"/>
      <c r="FV21" s="87"/>
      <c r="FW21" s="87"/>
      <c r="FX21" s="87"/>
      <c r="FY21" s="87"/>
      <c r="FZ21" s="87"/>
      <c r="GA21" s="87"/>
      <c r="GB21" s="87"/>
      <c r="GC21" s="87"/>
      <c r="GD21" s="87"/>
      <c r="GE21" s="87"/>
      <c r="GF21" s="87"/>
      <c r="GG21" s="87"/>
      <c r="GH21" s="87"/>
      <c r="GI21" s="87"/>
      <c r="GJ21" s="87"/>
      <c r="GK21" s="87"/>
      <c r="GL21" s="87"/>
      <c r="GM21" s="87"/>
      <c r="GN21" s="87"/>
      <c r="GO21" s="87"/>
      <c r="GP21" s="87"/>
      <c r="GQ21" s="87"/>
      <c r="GR21" s="87"/>
      <c r="GS21" s="87"/>
      <c r="GT21" s="87"/>
      <c r="GU21" s="87"/>
      <c r="GV21" s="87"/>
      <c r="GW21" s="87"/>
      <c r="GX21" s="87"/>
      <c r="GY21" s="87"/>
      <c r="GZ21" s="87"/>
      <c r="HA21" s="87"/>
      <c r="HB21" s="87"/>
      <c r="HC21" s="87"/>
      <c r="HD21" s="87"/>
      <c r="HE21" s="87"/>
      <c r="HF21" s="87"/>
      <c r="HG21" s="87"/>
      <c r="HH21" s="87"/>
      <c r="HI21" s="87"/>
      <c r="HJ21" s="87"/>
      <c r="HK21" s="87"/>
      <c r="HL21" s="87"/>
      <c r="HM21" s="87"/>
      <c r="HN21" s="87"/>
      <c r="HO21" s="87"/>
      <c r="HP21" s="87"/>
      <c r="HQ21" s="87"/>
      <c r="HR21" s="87"/>
      <c r="HS21" s="87"/>
      <c r="HT21" s="87"/>
      <c r="HU21" s="87"/>
      <c r="HV21" s="87"/>
      <c r="HW21" s="87"/>
      <c r="HX21" s="87"/>
      <c r="HY21" s="87"/>
      <c r="HZ21" s="87"/>
      <c r="IA21" s="87"/>
      <c r="IB21" s="87"/>
      <c r="IC21" s="87"/>
      <c r="ID21" s="87"/>
      <c r="IE21" s="87"/>
      <c r="IF21" s="87"/>
      <c r="IG21" s="87"/>
      <c r="IH21" s="87"/>
      <c r="II21" s="87"/>
      <c r="IJ21" s="87"/>
      <c r="IK21" s="87"/>
      <c r="IL21" s="87"/>
      <c r="IM21" s="87"/>
      <c r="IN21" s="87"/>
      <c r="IO21" s="87"/>
      <c r="IP21" s="87"/>
      <c r="IQ21" s="87"/>
      <c r="IR21" s="87"/>
      <c r="IS21" s="87"/>
      <c r="IT21" s="87"/>
      <c r="IU21" s="87"/>
      <c r="IV21" s="87"/>
      <c r="IW21" s="87"/>
      <c r="IX21" s="87"/>
      <c r="IY21" s="87"/>
      <c r="IZ21" s="87"/>
      <c r="JA21" s="87"/>
      <c r="JB21" s="87"/>
      <c r="JC21" s="87"/>
      <c r="JD21" s="87"/>
      <c r="JE21" s="87"/>
      <c r="JF21" s="87"/>
      <c r="JG21" s="87"/>
      <c r="JH21" s="87"/>
      <c r="JI21" s="87"/>
      <c r="JJ21" s="87"/>
      <c r="JK21" s="87"/>
      <c r="JL21" s="87"/>
      <c r="JM21" s="87"/>
      <c r="JN21" s="87"/>
      <c r="JO21" s="87"/>
      <c r="JP21" s="87"/>
      <c r="JQ21" s="87"/>
      <c r="JR21" s="87"/>
      <c r="JS21" s="87"/>
      <c r="JT21" s="87"/>
      <c r="JU21" s="87"/>
      <c r="JV21" s="87"/>
      <c r="JW21" s="87"/>
      <c r="JX21" s="87"/>
      <c r="JY21" s="87"/>
      <c r="JZ21" s="87"/>
      <c r="KA21" s="87"/>
      <c r="KB21" s="87"/>
      <c r="KC21" s="87"/>
      <c r="KD21" s="87"/>
      <c r="KE21" s="87"/>
      <c r="KF21" s="87"/>
      <c r="KG21" s="87"/>
      <c r="KH21" s="87"/>
      <c r="KI21" s="87"/>
      <c r="KJ21" s="87"/>
      <c r="KK21" s="87"/>
      <c r="KL21" s="87"/>
      <c r="KM21" s="87"/>
      <c r="KN21" s="87"/>
      <c r="KO21" s="87"/>
      <c r="KP21" s="87"/>
      <c r="KQ21" s="87"/>
      <c r="KR21" s="87"/>
      <c r="KS21" s="87"/>
      <c r="KT21" s="87"/>
      <c r="KU21" s="87"/>
      <c r="KV21" s="87"/>
      <c r="KW21" s="87"/>
      <c r="KX21" s="87"/>
      <c r="KY21" s="87"/>
      <c r="KZ21" s="87"/>
      <c r="LA21" s="87"/>
      <c r="LB21" s="87"/>
      <c r="LC21" s="87"/>
      <c r="LD21" s="87"/>
      <c r="LE21" s="87"/>
      <c r="LF21" s="87"/>
      <c r="LG21" s="87"/>
      <c r="LH21" s="87"/>
      <c r="LI21" s="87"/>
      <c r="LJ21" s="87"/>
      <c r="LK21" s="87"/>
      <c r="LL21" s="87"/>
      <c r="LM21" s="87"/>
      <c r="LN21" s="87"/>
      <c r="LO21" s="87"/>
      <c r="LP21" s="87"/>
      <c r="LQ21" s="87"/>
      <c r="LR21" s="87"/>
      <c r="LS21" s="87"/>
      <c r="LT21" s="87"/>
      <c r="LU21" s="87"/>
      <c r="LV21" s="87"/>
      <c r="LW21" s="87"/>
      <c r="LX21" s="87"/>
      <c r="LY21" s="87"/>
      <c r="LZ21" s="87"/>
      <c r="MA21" s="87"/>
      <c r="MB21" s="87"/>
      <c r="MC21" s="87"/>
      <c r="MD21" s="87"/>
      <c r="ME21" s="87"/>
      <c r="MF21" s="87"/>
      <c r="MG21" s="87"/>
      <c r="MH21" s="87"/>
      <c r="MI21" s="87"/>
      <c r="MJ21" s="87"/>
      <c r="MK21" s="87"/>
      <c r="ML21" s="87"/>
      <c r="MM21" s="87"/>
      <c r="MN21" s="87"/>
      <c r="MO21" s="87"/>
      <c r="MP21" s="87"/>
      <c r="MQ21" s="87"/>
      <c r="MR21" s="87"/>
      <c r="MS21" s="87"/>
      <c r="MT21" s="87"/>
      <c r="MU21" s="87"/>
      <c r="MV21" s="87"/>
      <c r="MW21" s="87"/>
      <c r="MX21" s="87"/>
      <c r="MY21" s="87"/>
      <c r="MZ21" s="87"/>
      <c r="NA21" s="87"/>
      <c r="NB21" s="87"/>
      <c r="NC21" s="87"/>
      <c r="ND21" s="87"/>
      <c r="NE21" s="87"/>
      <c r="NF21" s="87"/>
      <c r="NG21" s="87"/>
      <c r="NH21" s="87"/>
      <c r="NI21" s="87"/>
      <c r="NJ21" s="87"/>
      <c r="NK21" s="87"/>
      <c r="NL21" s="87"/>
      <c r="NM21" s="87"/>
      <c r="NN21" s="87"/>
      <c r="NO21" s="87"/>
      <c r="NP21" s="87"/>
      <c r="NQ21" s="87"/>
      <c r="NR21" s="87"/>
      <c r="NS21" s="87"/>
      <c r="NT21" s="87"/>
      <c r="NU21" s="87"/>
      <c r="NV21" s="87"/>
      <c r="NW21" s="87"/>
      <c r="NX21" s="87"/>
      <c r="NY21" s="87"/>
      <c r="NZ21" s="87"/>
      <c r="OA21" s="87"/>
      <c r="OB21" s="87"/>
      <c r="OC21" s="87"/>
      <c r="OD21" s="87"/>
      <c r="OE21" s="87"/>
      <c r="OF21" s="87"/>
      <c r="OG21" s="87"/>
      <c r="OH21" s="87"/>
      <c r="OI21" s="87"/>
      <c r="OJ21" s="87"/>
      <c r="OK21" s="87"/>
      <c r="OL21" s="87"/>
      <c r="OM21" s="87"/>
      <c r="ON21" s="87"/>
      <c r="OO21" s="87"/>
      <c r="OP21" s="87"/>
      <c r="OQ21" s="87"/>
      <c r="OR21" s="87"/>
      <c r="OS21" s="87"/>
      <c r="OT21" s="87"/>
      <c r="OU21" s="87"/>
      <c r="OV21" s="87"/>
      <c r="OW21" s="87"/>
      <c r="OX21" s="87"/>
      <c r="OY21" s="87"/>
      <c r="OZ21" s="87"/>
      <c r="PA21" s="87"/>
      <c r="PB21" s="87"/>
      <c r="PC21" s="87"/>
      <c r="PD21" s="87"/>
      <c r="PE21" s="87"/>
      <c r="PF21" s="87"/>
      <c r="PG21" s="87"/>
      <c r="PH21" s="87"/>
      <c r="PI21" s="87"/>
      <c r="PJ21" s="87"/>
      <c r="PK21" s="87"/>
      <c r="PL21" s="87"/>
      <c r="PM21" s="87"/>
      <c r="PN21" s="87"/>
      <c r="PO21" s="87"/>
      <c r="PP21" s="87"/>
      <c r="PQ21" s="87"/>
      <c r="PR21" s="87"/>
      <c r="PS21" s="87"/>
      <c r="PT21" s="87"/>
      <c r="PU21" s="87"/>
      <c r="PV21" s="87"/>
      <c r="PW21" s="87"/>
      <c r="PX21" s="87"/>
      <c r="PY21" s="87"/>
      <c r="PZ21" s="87"/>
      <c r="QA21" s="87"/>
      <c r="QB21" s="87"/>
      <c r="QC21" s="87"/>
      <c r="QD21" s="87"/>
      <c r="QE21" s="87"/>
      <c r="QF21" s="87"/>
      <c r="QG21" s="87"/>
      <c r="QH21" s="87"/>
      <c r="QI21" s="87"/>
      <c r="QJ21" s="87"/>
      <c r="QK21" s="87"/>
      <c r="QL21" s="87"/>
      <c r="QM21" s="87"/>
      <c r="QN21" s="87"/>
      <c r="QO21" s="87"/>
      <c r="QP21" s="87"/>
      <c r="QQ21" s="87"/>
      <c r="QR21" s="87"/>
      <c r="QS21" s="87"/>
      <c r="QT21" s="87"/>
      <c r="QU21" s="87"/>
      <c r="QV21" s="87"/>
      <c r="QW21" s="87"/>
      <c r="QX21" s="87"/>
      <c r="QY21" s="87"/>
      <c r="QZ21" s="87"/>
      <c r="RA21" s="87"/>
      <c r="RB21" s="87"/>
      <c r="RC21" s="87"/>
      <c r="RD21" s="87"/>
      <c r="RE21" s="87"/>
      <c r="RF21" s="87"/>
      <c r="RG21" s="87"/>
      <c r="RH21" s="87"/>
      <c r="RI21" s="87"/>
      <c r="RJ21" s="87"/>
      <c r="RK21" s="87"/>
      <c r="RL21" s="87"/>
      <c r="RM21" s="87"/>
      <c r="RN21" s="87"/>
      <c r="RO21" s="87"/>
      <c r="RP21" s="87"/>
      <c r="RQ21" s="87"/>
      <c r="RR21" s="87"/>
      <c r="RS21" s="87"/>
      <c r="RT21" s="87"/>
      <c r="RU21" s="87"/>
      <c r="RV21" s="87"/>
      <c r="RW21" s="87"/>
      <c r="RX21" s="87"/>
      <c r="RY21" s="87"/>
      <c r="RZ21" s="87"/>
      <c r="SA21" s="87"/>
      <c r="SB21" s="87"/>
      <c r="SC21" s="87"/>
      <c r="SD21" s="87"/>
      <c r="SE21" s="87"/>
      <c r="SF21" s="87"/>
      <c r="SG21" s="87"/>
      <c r="SH21" s="87"/>
      <c r="SI21" s="87"/>
      <c r="SJ21" s="87"/>
      <c r="SK21" s="87"/>
      <c r="SL21" s="87"/>
      <c r="SM21" s="87"/>
      <c r="SN21" s="87"/>
      <c r="SO21" s="87"/>
      <c r="SP21" s="87"/>
      <c r="SQ21" s="87"/>
      <c r="SR21" s="87"/>
      <c r="SS21" s="87"/>
      <c r="ST21" s="87"/>
      <c r="SU21" s="87"/>
      <c r="SV21" s="87"/>
      <c r="SW21" s="87"/>
      <c r="SX21" s="87"/>
      <c r="SY21" s="87"/>
      <c r="SZ21" s="87"/>
      <c r="TA21" s="87"/>
      <c r="TB21" s="87"/>
      <c r="TC21" s="87"/>
      <c r="TD21" s="87"/>
      <c r="TE21" s="87"/>
      <c r="TF21" s="87"/>
      <c r="TG21" s="87"/>
      <c r="TH21" s="87"/>
      <c r="TI21" s="87"/>
      <c r="TJ21" s="87"/>
      <c r="TK21" s="87"/>
      <c r="TL21" s="87"/>
      <c r="TM21" s="87"/>
      <c r="TN21" s="87"/>
      <c r="TO21" s="87"/>
      <c r="TP21" s="87"/>
      <c r="TQ21" s="87"/>
      <c r="TR21" s="87"/>
      <c r="TS21" s="87"/>
      <c r="TT21" s="87"/>
      <c r="TU21" s="87"/>
      <c r="TV21" s="87"/>
      <c r="TW21" s="87"/>
      <c r="TX21" s="87"/>
      <c r="TY21" s="87"/>
      <c r="TZ21" s="87"/>
      <c r="UA21" s="87"/>
      <c r="UB21" s="87"/>
      <c r="UC21" s="87"/>
      <c r="UD21" s="87"/>
      <c r="UE21" s="87"/>
      <c r="UF21" s="87"/>
      <c r="UG21" s="87"/>
      <c r="UH21" s="87"/>
      <c r="UI21" s="87"/>
      <c r="UJ21" s="87"/>
      <c r="UK21" s="87"/>
      <c r="UL21" s="87"/>
      <c r="UM21" s="87"/>
      <c r="UN21" s="87"/>
      <c r="UO21" s="87"/>
      <c r="UP21" s="87"/>
      <c r="UQ21" s="87"/>
      <c r="UR21" s="87"/>
      <c r="US21" s="87"/>
      <c r="UT21" s="87"/>
      <c r="UU21" s="87"/>
      <c r="UV21" s="87"/>
      <c r="UW21" s="87"/>
      <c r="UX21" s="87"/>
      <c r="UY21" s="87"/>
      <c r="UZ21" s="87"/>
      <c r="VA21" s="87"/>
      <c r="VB21" s="87"/>
      <c r="VC21" s="87"/>
      <c r="VD21" s="87"/>
      <c r="VE21" s="87"/>
      <c r="VF21" s="87"/>
      <c r="VG21" s="87"/>
      <c r="VH21" s="87"/>
      <c r="VI21" s="87"/>
      <c r="VJ21" s="87"/>
      <c r="VK21" s="87"/>
      <c r="VL21" s="87"/>
      <c r="VM21" s="87"/>
      <c r="VN21" s="87"/>
      <c r="VO21" s="87"/>
      <c r="VP21" s="87"/>
      <c r="VQ21" s="87"/>
      <c r="VR21" s="87"/>
      <c r="VS21" s="87"/>
      <c r="VT21" s="87"/>
      <c r="VU21" s="87"/>
      <c r="VV21" s="87"/>
      <c r="VW21" s="87"/>
      <c r="VX21" s="87"/>
      <c r="VY21" s="87"/>
      <c r="VZ21" s="87"/>
      <c r="WA21" s="87"/>
      <c r="WB21" s="87"/>
      <c r="WC21" s="87"/>
      <c r="WD21" s="87"/>
      <c r="WE21" s="87"/>
      <c r="WF21" s="87"/>
      <c r="WG21" s="87"/>
      <c r="WH21" s="87"/>
      <c r="WI21" s="87"/>
      <c r="WJ21" s="87"/>
      <c r="WK21" s="87"/>
      <c r="WL21" s="87"/>
      <c r="WM21" s="87"/>
      <c r="WN21" s="87"/>
      <c r="WO21" s="87"/>
      <c r="WP21" s="87"/>
      <c r="WQ21" s="87"/>
      <c r="WR21" s="87"/>
      <c r="WS21" s="87"/>
      <c r="WT21" s="87"/>
      <c r="WU21" s="87"/>
      <c r="WV21" s="87"/>
      <c r="WW21" s="87"/>
      <c r="WX21" s="87"/>
      <c r="WY21" s="87"/>
      <c r="WZ21" s="87"/>
      <c r="XA21" s="87"/>
      <c r="XB21" s="87"/>
      <c r="XC21" s="87"/>
      <c r="XD21" s="87"/>
      <c r="XE21" s="87"/>
      <c r="XF21" s="87"/>
      <c r="XG21" s="87"/>
      <c r="XH21" s="87"/>
      <c r="XI21" s="87"/>
      <c r="XJ21" s="87"/>
      <c r="XK21" s="87"/>
      <c r="XL21" s="87"/>
      <c r="XM21" s="87"/>
      <c r="XN21" s="87"/>
      <c r="XO21" s="87"/>
      <c r="XP21" s="87"/>
      <c r="XQ21" s="87"/>
      <c r="XR21" s="87"/>
      <c r="XS21" s="87"/>
      <c r="XT21" s="87"/>
      <c r="XU21" s="87"/>
      <c r="XV21" s="87"/>
      <c r="XW21" s="87"/>
      <c r="XX21" s="87"/>
      <c r="XY21" s="87"/>
      <c r="XZ21" s="87"/>
      <c r="YA21" s="87"/>
      <c r="YB21" s="87"/>
      <c r="YC21" s="87"/>
      <c r="YD21" s="87"/>
      <c r="YE21" s="87"/>
      <c r="YF21" s="87"/>
      <c r="YG21" s="87"/>
      <c r="YH21" s="87"/>
      <c r="YI21" s="87"/>
      <c r="YJ21" s="87"/>
      <c r="YK21" s="87"/>
      <c r="YL21" s="87"/>
      <c r="YM21" s="87"/>
      <c r="YN21" s="87"/>
      <c r="YO21" s="87"/>
      <c r="YP21" s="87"/>
      <c r="YQ21" s="87"/>
      <c r="YR21" s="87"/>
      <c r="YS21" s="87"/>
      <c r="YT21" s="87"/>
      <c r="YU21" s="87"/>
      <c r="YV21" s="87"/>
      <c r="YW21" s="87"/>
      <c r="YX21" s="87"/>
      <c r="YY21" s="87"/>
      <c r="YZ21" s="87"/>
      <c r="ZA21" s="87"/>
      <c r="ZB21" s="87"/>
      <c r="ZC21" s="87"/>
      <c r="ZD21" s="87"/>
      <c r="ZE21" s="87"/>
      <c r="ZF21" s="87"/>
      <c r="ZG21" s="87"/>
      <c r="ZH21" s="87"/>
      <c r="ZI21" s="87"/>
      <c r="ZJ21" s="87"/>
      <c r="ZK21" s="87"/>
      <c r="ZL21" s="87"/>
      <c r="ZM21" s="87"/>
      <c r="ZN21" s="87"/>
      <c r="ZO21" s="87"/>
      <c r="ZP21" s="87"/>
      <c r="ZQ21" s="87"/>
      <c r="ZR21" s="87"/>
      <c r="ZS21" s="87"/>
      <c r="ZT21" s="87"/>
      <c r="ZU21" s="87"/>
      <c r="ZV21" s="87"/>
      <c r="ZW21" s="87"/>
      <c r="ZX21" s="87"/>
      <c r="ZY21" s="87"/>
      <c r="ZZ21" s="87"/>
      <c r="AAA21" s="87"/>
      <c r="AAB21" s="87"/>
      <c r="AAC21" s="87"/>
      <c r="AAD21" s="87"/>
      <c r="AAE21" s="87"/>
      <c r="AAF21" s="87"/>
      <c r="AAG21" s="87"/>
      <c r="AAH21" s="87"/>
      <c r="AAI21" s="87"/>
      <c r="AAJ21" s="87"/>
      <c r="AAK21" s="87"/>
      <c r="AAL21" s="87"/>
      <c r="AAM21" s="87"/>
      <c r="AAN21" s="87"/>
      <c r="AAO21" s="87"/>
      <c r="AAP21" s="87"/>
      <c r="AAQ21" s="87"/>
      <c r="AAR21" s="87"/>
      <c r="AAS21" s="87"/>
      <c r="AAT21" s="87"/>
      <c r="AAU21" s="87"/>
      <c r="AAV21" s="87"/>
      <c r="AAW21" s="87"/>
      <c r="AAX21" s="87"/>
      <c r="AAY21" s="87"/>
      <c r="AAZ21" s="87"/>
      <c r="ABA21" s="87"/>
      <c r="ABB21" s="87"/>
      <c r="ABC21" s="87"/>
      <c r="ABD21" s="87"/>
      <c r="ABE21" s="87"/>
      <c r="ABF21" s="87"/>
      <c r="ABG21" s="87"/>
      <c r="ABH21" s="87"/>
      <c r="ABI21" s="87"/>
      <c r="ABJ21" s="87"/>
      <c r="ABK21" s="87"/>
      <c r="ABL21" s="87"/>
      <c r="ABM21" s="87"/>
      <c r="ABN21" s="87"/>
      <c r="ABO21" s="87"/>
      <c r="ABP21" s="87"/>
      <c r="ABQ21" s="87"/>
      <c r="ABR21" s="87"/>
      <c r="ABS21" s="87"/>
      <c r="ABT21" s="87"/>
      <c r="ABU21" s="87"/>
      <c r="ABV21" s="87"/>
      <c r="ABW21" s="87"/>
      <c r="ABX21" s="87"/>
      <c r="ABY21" s="87"/>
      <c r="ABZ21" s="87"/>
      <c r="ACA21" s="87"/>
      <c r="ACB21" s="87"/>
      <c r="ACC21" s="87"/>
      <c r="ACD21" s="87"/>
      <c r="ACE21" s="87"/>
      <c r="ACF21" s="87"/>
      <c r="ACG21" s="87"/>
      <c r="ACH21" s="87"/>
      <c r="ACI21" s="87"/>
      <c r="ACJ21" s="87"/>
      <c r="ACK21" s="87"/>
      <c r="ACL21" s="87"/>
      <c r="ACM21" s="87"/>
      <c r="ACN21" s="87"/>
      <c r="ACO21" s="87"/>
      <c r="ACP21" s="87"/>
      <c r="ACQ21" s="87"/>
      <c r="ACR21" s="87"/>
      <c r="ACS21" s="87"/>
      <c r="ACT21" s="87"/>
      <c r="ACU21" s="87"/>
      <c r="ACV21" s="87"/>
      <c r="ACW21" s="87"/>
      <c r="ACX21" s="87"/>
      <c r="ACY21" s="87"/>
      <c r="ACZ21" s="87"/>
      <c r="ADA21" s="87"/>
      <c r="ADB21" s="87"/>
      <c r="ADC21" s="87"/>
      <c r="ADD21" s="87"/>
      <c r="ADE21" s="87"/>
      <c r="ADF21" s="87"/>
      <c r="ADG21" s="87"/>
      <c r="ADH21" s="87"/>
      <c r="ADI21" s="87"/>
      <c r="ADJ21" s="87"/>
      <c r="ADK21" s="87"/>
      <c r="ADL21" s="87"/>
      <c r="ADM21" s="87"/>
      <c r="ADN21" s="87"/>
      <c r="ADO21" s="87"/>
      <c r="ADP21" s="87"/>
      <c r="ADQ21" s="87"/>
      <c r="ADR21" s="87"/>
      <c r="ADS21" s="87"/>
      <c r="ADT21" s="87"/>
      <c r="ADU21" s="87"/>
      <c r="ADV21" s="87"/>
      <c r="ADW21" s="87"/>
      <c r="ADX21" s="87"/>
      <c r="ADY21" s="87"/>
      <c r="ADZ21" s="87"/>
      <c r="AEA21" s="87"/>
      <c r="AEB21" s="87"/>
      <c r="AEC21" s="87"/>
      <c r="AED21" s="87"/>
      <c r="AEE21" s="87"/>
      <c r="AEF21" s="87"/>
      <c r="AEG21" s="87"/>
      <c r="AEH21" s="87"/>
      <c r="AEI21" s="87"/>
      <c r="AEJ21" s="87"/>
      <c r="AEK21" s="87"/>
      <c r="AEL21" s="87"/>
      <c r="AEM21" s="87"/>
      <c r="AEN21" s="87"/>
      <c r="AEO21" s="87"/>
      <c r="AEP21" s="87"/>
      <c r="AEQ21" s="87"/>
      <c r="AER21" s="87"/>
      <c r="AES21" s="87"/>
      <c r="AET21" s="87"/>
      <c r="AEU21" s="87"/>
      <c r="AEV21" s="87"/>
      <c r="AEW21" s="87"/>
      <c r="AEX21" s="87"/>
      <c r="AEY21" s="87"/>
      <c r="AEZ21" s="87"/>
      <c r="AFA21" s="87"/>
      <c r="AFB21" s="87"/>
      <c r="AFC21" s="87"/>
      <c r="AFD21" s="87"/>
      <c r="AFE21" s="87"/>
      <c r="AFF21" s="87"/>
      <c r="AFG21" s="87"/>
      <c r="AFH21" s="87"/>
      <c r="AFI21" s="87"/>
      <c r="AFJ21" s="87"/>
      <c r="AFK21" s="87"/>
      <c r="AFL21" s="87"/>
      <c r="AFM21" s="87"/>
      <c r="AFN21" s="87"/>
      <c r="AFO21" s="87"/>
      <c r="AFP21" s="87"/>
      <c r="AFQ21" s="87"/>
      <c r="AFR21" s="87"/>
      <c r="AFS21" s="87"/>
      <c r="AFT21" s="87"/>
      <c r="AFU21" s="87"/>
      <c r="AFV21" s="87"/>
      <c r="AFW21" s="87"/>
      <c r="AFX21" s="87"/>
      <c r="AFY21" s="87"/>
      <c r="AFZ21" s="87"/>
      <c r="AGA21" s="87"/>
      <c r="AGB21" s="87"/>
      <c r="AGC21" s="87"/>
      <c r="AGD21" s="87"/>
      <c r="AGE21" s="87"/>
      <c r="AGF21" s="87"/>
      <c r="AGG21" s="87"/>
      <c r="AGH21" s="87"/>
      <c r="AGI21" s="87"/>
      <c r="AGJ21" s="87"/>
      <c r="AGK21" s="87"/>
      <c r="AGL21" s="87"/>
      <c r="AGM21" s="87"/>
      <c r="AGN21" s="87"/>
      <c r="AGO21" s="87"/>
      <c r="AGP21" s="87"/>
      <c r="AGQ21" s="87"/>
      <c r="AGR21" s="87"/>
      <c r="AGS21" s="87"/>
      <c r="AGT21" s="87"/>
      <c r="AGU21" s="87"/>
      <c r="AGV21" s="87"/>
      <c r="AGW21" s="87"/>
      <c r="AGX21" s="87"/>
      <c r="AGY21" s="87"/>
      <c r="AGZ21" s="87"/>
      <c r="AHA21" s="87"/>
      <c r="AHB21" s="87"/>
      <c r="AHC21" s="87"/>
      <c r="AHD21" s="87"/>
      <c r="AHE21" s="87"/>
      <c r="AHF21" s="87"/>
      <c r="AHG21" s="87"/>
      <c r="AHH21" s="87"/>
      <c r="AHI21" s="87"/>
      <c r="AHJ21" s="87"/>
      <c r="AHK21" s="87"/>
      <c r="AHL21" s="87"/>
      <c r="AHM21" s="87"/>
      <c r="AHN21" s="87"/>
      <c r="AHO21" s="87"/>
      <c r="AHP21" s="87"/>
      <c r="AHQ21" s="87"/>
      <c r="AHR21" s="87"/>
      <c r="AHS21" s="87"/>
      <c r="AHT21" s="87"/>
      <c r="AHU21" s="87"/>
      <c r="AHV21" s="87"/>
      <c r="AHW21" s="87"/>
      <c r="AHX21" s="87"/>
      <c r="AHY21" s="87"/>
      <c r="AHZ21" s="87"/>
      <c r="AIA21" s="87"/>
      <c r="AIB21" s="87"/>
      <c r="AIC21" s="87"/>
      <c r="AID21" s="87"/>
      <c r="AIE21" s="87"/>
      <c r="AIF21" s="87"/>
      <c r="AIG21" s="87"/>
      <c r="AIH21" s="87"/>
      <c r="AII21" s="87"/>
      <c r="AIJ21" s="87"/>
      <c r="AIK21" s="87"/>
      <c r="AIL21" s="87"/>
      <c r="AIM21" s="87"/>
      <c r="AIN21" s="87"/>
      <c r="AIO21" s="87"/>
      <c r="AIP21" s="87"/>
      <c r="AIQ21" s="87"/>
      <c r="AIR21" s="87"/>
      <c r="AIS21" s="87"/>
      <c r="AIT21" s="87"/>
      <c r="AIU21" s="87"/>
      <c r="AIV21" s="87"/>
      <c r="AIW21" s="87"/>
      <c r="AIX21" s="87"/>
      <c r="AIY21" s="87"/>
      <c r="AIZ21" s="87"/>
      <c r="AJA21" s="87"/>
      <c r="AJB21" s="87"/>
      <c r="AJC21" s="87"/>
      <c r="AJD21" s="87"/>
      <c r="AJE21" s="87"/>
      <c r="AJF21" s="87"/>
      <c r="AJG21" s="87"/>
      <c r="AJH21" s="87"/>
      <c r="AJI21" s="87"/>
      <c r="AJJ21" s="87"/>
      <c r="AJK21" s="87"/>
      <c r="AJL21" s="87"/>
      <c r="AJM21" s="87"/>
      <c r="AJN21" s="87"/>
      <c r="AJO21" s="87"/>
      <c r="AJP21" s="87"/>
      <c r="AJQ21" s="87"/>
      <c r="AJR21" s="87"/>
      <c r="AJS21" s="87"/>
      <c r="AJT21" s="87"/>
      <c r="AJU21" s="87"/>
      <c r="AJV21" s="87"/>
      <c r="AJW21" s="87"/>
      <c r="AJX21" s="87"/>
      <c r="AJY21" s="87"/>
      <c r="AJZ21" s="87"/>
      <c r="AKA21" s="87"/>
      <c r="AKB21" s="87"/>
      <c r="AKC21" s="87"/>
      <c r="AKD21" s="87"/>
      <c r="AKE21" s="87"/>
      <c r="AKF21" s="87"/>
      <c r="AKG21" s="87"/>
      <c r="AKH21" s="87"/>
      <c r="AKI21" s="87"/>
      <c r="AKJ21" s="87"/>
      <c r="AKK21" s="87"/>
      <c r="AKL21" s="87"/>
      <c r="AKM21" s="87"/>
      <c r="AKN21" s="87"/>
      <c r="AKO21" s="87"/>
      <c r="AKP21" s="87"/>
      <c r="AKQ21" s="87"/>
      <c r="AKR21" s="87"/>
      <c r="AKS21" s="87"/>
      <c r="AKT21" s="87"/>
      <c r="AKU21" s="87"/>
      <c r="AKV21" s="87"/>
      <c r="AKW21" s="87"/>
      <c r="AKX21" s="87"/>
      <c r="AKY21" s="87"/>
      <c r="AKZ21" s="87"/>
      <c r="ALA21" s="87"/>
    </row>
    <row r="22" spans="1:989" ht="25.15" customHeight="1" x14ac:dyDescent="0.25">
      <c r="A22" s="89" t="s">
        <v>149</v>
      </c>
      <c r="B22" s="102" t="s">
        <v>118</v>
      </c>
      <c r="C22" s="101" t="s">
        <v>119</v>
      </c>
      <c r="D22" s="102" t="s">
        <v>107</v>
      </c>
      <c r="E22" s="103">
        <v>4.9099999999999998E-2</v>
      </c>
      <c r="F22" s="96">
        <v>451.69</v>
      </c>
      <c r="G22" s="104">
        <f t="shared" si="0"/>
        <v>22.18</v>
      </c>
    </row>
    <row r="23" spans="1:989" ht="25.15" customHeight="1" x14ac:dyDescent="0.25">
      <c r="A23" s="89" t="s">
        <v>149</v>
      </c>
      <c r="B23" s="102" t="s">
        <v>108</v>
      </c>
      <c r="C23" s="101" t="s">
        <v>109</v>
      </c>
      <c r="D23" s="102" t="s">
        <v>104</v>
      </c>
      <c r="E23" s="103">
        <f>0.0048*1.5</f>
        <v>7.1999999999999998E-3</v>
      </c>
      <c r="F23" s="96">
        <v>15.61</v>
      </c>
      <c r="G23" s="104">
        <f t="shared" si="0"/>
        <v>0.11</v>
      </c>
    </row>
    <row r="24" spans="1:989" ht="25.15" customHeight="1" x14ac:dyDescent="0.25">
      <c r="A24" s="220" t="s">
        <v>95</v>
      </c>
      <c r="B24" s="221"/>
      <c r="C24" s="221"/>
      <c r="D24" s="221"/>
      <c r="E24" s="221"/>
      <c r="F24" s="222"/>
      <c r="G24" s="98">
        <f>ROUND(SUM(G15:G23),2)</f>
        <v>74.66</v>
      </c>
    </row>
    <row r="25" spans="1:989" s="5" customFormat="1" x14ac:dyDescent="0.25">
      <c r="A25" s="70"/>
      <c r="B25" s="70"/>
      <c r="C25" s="70"/>
      <c r="D25" s="70"/>
      <c r="E25" s="70"/>
      <c r="F25" s="70"/>
      <c r="G25" s="80"/>
    </row>
    <row r="26" spans="1:989" s="5" customFormat="1" ht="25.15" customHeight="1" x14ac:dyDescent="0.25">
      <c r="A26" s="214" t="s">
        <v>0</v>
      </c>
      <c r="B26" s="215"/>
      <c r="C26" s="85" t="s">
        <v>86</v>
      </c>
      <c r="D26" s="85" t="s">
        <v>5</v>
      </c>
      <c r="E26" s="214" t="s">
        <v>16</v>
      </c>
      <c r="F26" s="215"/>
      <c r="G26" s="86" t="s">
        <v>87</v>
      </c>
    </row>
    <row r="27" spans="1:989" s="5" customFormat="1" ht="30.2" customHeight="1" x14ac:dyDescent="0.25">
      <c r="A27" s="216">
        <v>2</v>
      </c>
      <c r="B27" s="217"/>
      <c r="C27" s="99" t="s">
        <v>162</v>
      </c>
      <c r="D27" s="90" t="s">
        <v>4</v>
      </c>
      <c r="E27" s="150" t="s">
        <v>2</v>
      </c>
      <c r="F27" s="150">
        <v>93205</v>
      </c>
      <c r="G27" s="100">
        <f>G36</f>
        <v>52.89</v>
      </c>
    </row>
    <row r="28" spans="1:989" s="5" customFormat="1" ht="25.15" customHeight="1" x14ac:dyDescent="0.25">
      <c r="A28" s="92" t="s">
        <v>16</v>
      </c>
      <c r="B28" s="92" t="s">
        <v>0</v>
      </c>
      <c r="C28" s="92" t="s">
        <v>88</v>
      </c>
      <c r="D28" s="92" t="s">
        <v>5</v>
      </c>
      <c r="E28" s="92" t="s">
        <v>89</v>
      </c>
      <c r="F28" s="92" t="s">
        <v>90</v>
      </c>
      <c r="G28" s="93" t="s">
        <v>91</v>
      </c>
    </row>
    <row r="29" spans="1:989" s="5" customFormat="1" ht="25.15" customHeight="1" x14ac:dyDescent="0.25">
      <c r="A29" s="89" t="s">
        <v>2</v>
      </c>
      <c r="B29" s="89">
        <v>88309</v>
      </c>
      <c r="C29" s="101" t="s">
        <v>92</v>
      </c>
      <c r="D29" s="102" t="s">
        <v>93</v>
      </c>
      <c r="E29" s="103">
        <v>0.253</v>
      </c>
      <c r="F29" s="96">
        <v>29.24</v>
      </c>
      <c r="G29" s="104">
        <f t="shared" ref="G29:G35" si="1">ROUND(E29*F29,2)</f>
        <v>7.4</v>
      </c>
    </row>
    <row r="30" spans="1:989" s="5" customFormat="1" ht="25.15" customHeight="1" x14ac:dyDescent="0.25">
      <c r="A30" s="89" t="s">
        <v>2</v>
      </c>
      <c r="B30" s="89">
        <v>88316</v>
      </c>
      <c r="C30" s="101" t="s">
        <v>94</v>
      </c>
      <c r="D30" s="102" t="s">
        <v>93</v>
      </c>
      <c r="E30" s="103">
        <v>0.126</v>
      </c>
      <c r="F30" s="96">
        <v>25.43</v>
      </c>
      <c r="G30" s="104">
        <f t="shared" si="1"/>
        <v>3.2</v>
      </c>
    </row>
    <row r="31" spans="1:989" s="5" customFormat="1" ht="40.15" customHeight="1" x14ac:dyDescent="0.25">
      <c r="A31" s="89" t="s">
        <v>2</v>
      </c>
      <c r="B31" s="89">
        <v>87294</v>
      </c>
      <c r="C31" s="101" t="s">
        <v>163</v>
      </c>
      <c r="D31" s="90" t="s">
        <v>36</v>
      </c>
      <c r="E31" s="95">
        <v>1.4E-3</v>
      </c>
      <c r="F31" s="96">
        <v>449.95</v>
      </c>
      <c r="G31" s="104">
        <f t="shared" si="1"/>
        <v>0.63</v>
      </c>
    </row>
    <row r="32" spans="1:989" s="5" customFormat="1" ht="30.2" customHeight="1" x14ac:dyDescent="0.25">
      <c r="A32" s="89" t="s">
        <v>2</v>
      </c>
      <c r="B32" s="89">
        <v>90279</v>
      </c>
      <c r="C32" s="101" t="s">
        <v>164</v>
      </c>
      <c r="D32" s="94" t="s">
        <v>36</v>
      </c>
      <c r="E32" s="95">
        <v>1.14E-2</v>
      </c>
      <c r="F32" s="96">
        <v>466.84</v>
      </c>
      <c r="G32" s="104">
        <f t="shared" si="1"/>
        <v>5.32</v>
      </c>
    </row>
    <row r="33" spans="1:989" s="5" customFormat="1" ht="30.2" customHeight="1" x14ac:dyDescent="0.25">
      <c r="A33" s="89" t="s">
        <v>2</v>
      </c>
      <c r="B33" s="89">
        <v>92802</v>
      </c>
      <c r="C33" s="101" t="s">
        <v>242</v>
      </c>
      <c r="D33" s="94" t="s">
        <v>165</v>
      </c>
      <c r="E33" s="103">
        <v>1.58</v>
      </c>
      <c r="F33" s="96">
        <v>9.3699999999999992</v>
      </c>
      <c r="G33" s="104">
        <f t="shared" si="1"/>
        <v>14.8</v>
      </c>
    </row>
    <row r="34" spans="1:989" s="5" customFormat="1" ht="30.2" customHeight="1" x14ac:dyDescent="0.25">
      <c r="A34" s="89" t="s">
        <v>2</v>
      </c>
      <c r="B34" s="89">
        <v>92800</v>
      </c>
      <c r="C34" s="101" t="s">
        <v>241</v>
      </c>
      <c r="D34" s="90" t="s">
        <v>165</v>
      </c>
      <c r="E34" s="95">
        <v>0.4</v>
      </c>
      <c r="F34" s="96">
        <v>9.5299999999999994</v>
      </c>
      <c r="G34" s="104">
        <f t="shared" si="1"/>
        <v>3.81</v>
      </c>
    </row>
    <row r="35" spans="1:989" s="5" customFormat="1" ht="25.15" customHeight="1" x14ac:dyDescent="0.25">
      <c r="A35" s="89" t="s">
        <v>147</v>
      </c>
      <c r="B35" s="89">
        <v>660</v>
      </c>
      <c r="C35" s="101" t="s">
        <v>166</v>
      </c>
      <c r="D35" s="90" t="s">
        <v>167</v>
      </c>
      <c r="E35" s="95">
        <f>ROUND(1/0.19,2)</f>
        <v>5.26</v>
      </c>
      <c r="F35" s="96">
        <v>3.37</v>
      </c>
      <c r="G35" s="104">
        <f t="shared" si="1"/>
        <v>17.73</v>
      </c>
    </row>
    <row r="36" spans="1:989" s="5" customFormat="1" ht="25.15" customHeight="1" x14ac:dyDescent="0.25">
      <c r="A36" s="220" t="s">
        <v>95</v>
      </c>
      <c r="B36" s="221"/>
      <c r="C36" s="221"/>
      <c r="D36" s="221"/>
      <c r="E36" s="221"/>
      <c r="F36" s="222"/>
      <c r="G36" s="98">
        <f>ROUND(SUM(G29:G35),2)</f>
        <v>52.89</v>
      </c>
    </row>
    <row r="37" spans="1:989" s="5" customFormat="1" x14ac:dyDescent="0.25">
      <c r="C37" s="70"/>
      <c r="G37" s="84"/>
    </row>
    <row r="38" spans="1:989" s="88" customFormat="1" ht="25.15" customHeight="1" x14ac:dyDescent="0.2">
      <c r="A38" s="212" t="s">
        <v>0</v>
      </c>
      <c r="B38" s="212"/>
      <c r="C38" s="85" t="s">
        <v>86</v>
      </c>
      <c r="D38" s="85" t="s">
        <v>5</v>
      </c>
      <c r="E38" s="212" t="s">
        <v>16</v>
      </c>
      <c r="F38" s="212"/>
      <c r="G38" s="86" t="s">
        <v>87</v>
      </c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7"/>
      <c r="BP38" s="87"/>
      <c r="BQ38" s="87"/>
      <c r="BR38" s="87"/>
      <c r="BS38" s="87"/>
      <c r="BT38" s="87"/>
      <c r="BU38" s="87"/>
      <c r="BV38" s="87"/>
      <c r="BW38" s="87"/>
      <c r="BX38" s="87"/>
      <c r="BY38" s="87"/>
      <c r="BZ38" s="87"/>
      <c r="CA38" s="87"/>
      <c r="CB38" s="87"/>
      <c r="CC38" s="87"/>
      <c r="CD38" s="87"/>
      <c r="CE38" s="87"/>
      <c r="CF38" s="87"/>
      <c r="CG38" s="87"/>
      <c r="CH38" s="87"/>
      <c r="CI38" s="87"/>
      <c r="CJ38" s="87"/>
      <c r="CK38" s="87"/>
      <c r="CL38" s="87"/>
      <c r="CM38" s="87"/>
      <c r="CN38" s="87"/>
      <c r="CO38" s="87"/>
      <c r="CP38" s="87"/>
      <c r="CQ38" s="87"/>
      <c r="CR38" s="87"/>
      <c r="CS38" s="87"/>
      <c r="CT38" s="87"/>
      <c r="CU38" s="87"/>
      <c r="CV38" s="87"/>
      <c r="CW38" s="87"/>
      <c r="CX38" s="87"/>
      <c r="CY38" s="87"/>
      <c r="CZ38" s="87"/>
      <c r="DA38" s="87"/>
      <c r="DB38" s="87"/>
      <c r="DC38" s="87"/>
      <c r="DD38" s="87"/>
      <c r="DE38" s="87"/>
      <c r="DF38" s="87"/>
      <c r="DG38" s="87"/>
      <c r="DH38" s="87"/>
      <c r="DI38" s="87"/>
      <c r="DJ38" s="87"/>
      <c r="DK38" s="87"/>
      <c r="DL38" s="87"/>
      <c r="DM38" s="87"/>
      <c r="DN38" s="87"/>
      <c r="DO38" s="87"/>
      <c r="DP38" s="87"/>
      <c r="DQ38" s="87"/>
      <c r="DR38" s="87"/>
      <c r="DS38" s="87"/>
      <c r="DT38" s="87"/>
      <c r="DU38" s="87"/>
      <c r="DV38" s="87"/>
      <c r="DW38" s="87"/>
      <c r="DX38" s="87"/>
      <c r="DY38" s="87"/>
      <c r="DZ38" s="87"/>
      <c r="EA38" s="87"/>
      <c r="EB38" s="87"/>
      <c r="EC38" s="87"/>
      <c r="ED38" s="87"/>
      <c r="EE38" s="87"/>
      <c r="EF38" s="87"/>
      <c r="EG38" s="87"/>
      <c r="EH38" s="87"/>
      <c r="EI38" s="87"/>
      <c r="EJ38" s="87"/>
      <c r="EK38" s="87"/>
      <c r="EL38" s="87"/>
      <c r="EM38" s="87"/>
      <c r="EN38" s="87"/>
      <c r="EO38" s="87"/>
      <c r="EP38" s="87"/>
      <c r="EQ38" s="87"/>
      <c r="ER38" s="87"/>
      <c r="ES38" s="87"/>
      <c r="ET38" s="87"/>
      <c r="EU38" s="87"/>
      <c r="EV38" s="87"/>
      <c r="EW38" s="87"/>
      <c r="EX38" s="87"/>
      <c r="EY38" s="87"/>
      <c r="EZ38" s="87"/>
      <c r="FA38" s="87"/>
      <c r="FB38" s="87"/>
      <c r="FC38" s="87"/>
      <c r="FD38" s="87"/>
      <c r="FE38" s="87"/>
      <c r="FF38" s="87"/>
      <c r="FG38" s="87"/>
      <c r="FH38" s="87"/>
      <c r="FI38" s="87"/>
      <c r="FJ38" s="87"/>
      <c r="FK38" s="87"/>
      <c r="FL38" s="87"/>
      <c r="FM38" s="87"/>
      <c r="FN38" s="87"/>
      <c r="FO38" s="87"/>
      <c r="FP38" s="87"/>
      <c r="FQ38" s="87"/>
      <c r="FR38" s="87"/>
      <c r="FS38" s="87"/>
      <c r="FT38" s="87"/>
      <c r="FU38" s="87"/>
      <c r="FV38" s="87"/>
      <c r="FW38" s="87"/>
      <c r="FX38" s="87"/>
      <c r="FY38" s="87"/>
      <c r="FZ38" s="87"/>
      <c r="GA38" s="87"/>
      <c r="GB38" s="87"/>
      <c r="GC38" s="87"/>
      <c r="GD38" s="87"/>
      <c r="GE38" s="87"/>
      <c r="GF38" s="87"/>
      <c r="GG38" s="87"/>
      <c r="GH38" s="87"/>
      <c r="GI38" s="87"/>
      <c r="GJ38" s="87"/>
      <c r="GK38" s="87"/>
      <c r="GL38" s="87"/>
      <c r="GM38" s="87"/>
      <c r="GN38" s="87"/>
      <c r="GO38" s="87"/>
      <c r="GP38" s="87"/>
      <c r="GQ38" s="87"/>
      <c r="GR38" s="87"/>
      <c r="GS38" s="87"/>
      <c r="GT38" s="87"/>
      <c r="GU38" s="87"/>
      <c r="GV38" s="87"/>
      <c r="GW38" s="87"/>
      <c r="GX38" s="87"/>
      <c r="GY38" s="87"/>
      <c r="GZ38" s="87"/>
      <c r="HA38" s="87"/>
      <c r="HB38" s="87"/>
      <c r="HC38" s="87"/>
      <c r="HD38" s="87"/>
      <c r="HE38" s="87"/>
      <c r="HF38" s="87"/>
      <c r="HG38" s="87"/>
      <c r="HH38" s="87"/>
      <c r="HI38" s="87"/>
      <c r="HJ38" s="87"/>
      <c r="HK38" s="87"/>
      <c r="HL38" s="87"/>
      <c r="HM38" s="87"/>
      <c r="HN38" s="87"/>
      <c r="HO38" s="87"/>
      <c r="HP38" s="87"/>
      <c r="HQ38" s="87"/>
      <c r="HR38" s="87"/>
      <c r="HS38" s="87"/>
      <c r="HT38" s="87"/>
      <c r="HU38" s="87"/>
      <c r="HV38" s="87"/>
      <c r="HW38" s="87"/>
      <c r="HX38" s="87"/>
      <c r="HY38" s="87"/>
      <c r="HZ38" s="87"/>
      <c r="IA38" s="87"/>
      <c r="IB38" s="87"/>
      <c r="IC38" s="87"/>
      <c r="ID38" s="87"/>
      <c r="IE38" s="87"/>
      <c r="IF38" s="87"/>
      <c r="IG38" s="87"/>
      <c r="IH38" s="87"/>
      <c r="II38" s="87"/>
      <c r="IJ38" s="87"/>
      <c r="IK38" s="87"/>
      <c r="IL38" s="87"/>
      <c r="IM38" s="87"/>
      <c r="IN38" s="87"/>
      <c r="IO38" s="87"/>
      <c r="IP38" s="87"/>
      <c r="IQ38" s="87"/>
      <c r="IR38" s="87"/>
      <c r="IS38" s="87"/>
      <c r="IT38" s="87"/>
      <c r="IU38" s="87"/>
      <c r="IV38" s="87"/>
      <c r="IW38" s="87"/>
      <c r="IX38" s="87"/>
      <c r="IY38" s="87"/>
      <c r="IZ38" s="87"/>
      <c r="JA38" s="87"/>
      <c r="JB38" s="87"/>
      <c r="JC38" s="87"/>
      <c r="JD38" s="87"/>
      <c r="JE38" s="87"/>
      <c r="JF38" s="87"/>
      <c r="JG38" s="87"/>
      <c r="JH38" s="87"/>
      <c r="JI38" s="87"/>
      <c r="JJ38" s="87"/>
      <c r="JK38" s="87"/>
      <c r="JL38" s="87"/>
      <c r="JM38" s="87"/>
      <c r="JN38" s="87"/>
      <c r="JO38" s="87"/>
      <c r="JP38" s="87"/>
      <c r="JQ38" s="87"/>
      <c r="JR38" s="87"/>
      <c r="JS38" s="87"/>
      <c r="JT38" s="87"/>
      <c r="JU38" s="87"/>
      <c r="JV38" s="87"/>
      <c r="JW38" s="87"/>
      <c r="JX38" s="87"/>
      <c r="JY38" s="87"/>
      <c r="JZ38" s="87"/>
      <c r="KA38" s="87"/>
      <c r="KB38" s="87"/>
      <c r="KC38" s="87"/>
      <c r="KD38" s="87"/>
      <c r="KE38" s="87"/>
      <c r="KF38" s="87"/>
      <c r="KG38" s="87"/>
      <c r="KH38" s="87"/>
      <c r="KI38" s="87"/>
      <c r="KJ38" s="87"/>
      <c r="KK38" s="87"/>
      <c r="KL38" s="87"/>
      <c r="KM38" s="87"/>
      <c r="KN38" s="87"/>
      <c r="KO38" s="87"/>
      <c r="KP38" s="87"/>
      <c r="KQ38" s="87"/>
      <c r="KR38" s="87"/>
      <c r="KS38" s="87"/>
      <c r="KT38" s="87"/>
      <c r="KU38" s="87"/>
      <c r="KV38" s="87"/>
      <c r="KW38" s="87"/>
      <c r="KX38" s="87"/>
      <c r="KY38" s="87"/>
      <c r="KZ38" s="87"/>
      <c r="LA38" s="87"/>
      <c r="LB38" s="87"/>
      <c r="LC38" s="87"/>
      <c r="LD38" s="87"/>
      <c r="LE38" s="87"/>
      <c r="LF38" s="87"/>
      <c r="LG38" s="87"/>
      <c r="LH38" s="87"/>
      <c r="LI38" s="87"/>
      <c r="LJ38" s="87"/>
      <c r="LK38" s="87"/>
      <c r="LL38" s="87"/>
      <c r="LM38" s="87"/>
      <c r="LN38" s="87"/>
      <c r="LO38" s="87"/>
      <c r="LP38" s="87"/>
      <c r="LQ38" s="87"/>
      <c r="LR38" s="87"/>
      <c r="LS38" s="87"/>
      <c r="LT38" s="87"/>
      <c r="LU38" s="87"/>
      <c r="LV38" s="87"/>
      <c r="LW38" s="87"/>
      <c r="LX38" s="87"/>
      <c r="LY38" s="87"/>
      <c r="LZ38" s="87"/>
      <c r="MA38" s="87"/>
      <c r="MB38" s="87"/>
      <c r="MC38" s="87"/>
      <c r="MD38" s="87"/>
      <c r="ME38" s="87"/>
      <c r="MF38" s="87"/>
      <c r="MG38" s="87"/>
      <c r="MH38" s="87"/>
      <c r="MI38" s="87"/>
      <c r="MJ38" s="87"/>
      <c r="MK38" s="87"/>
      <c r="ML38" s="87"/>
      <c r="MM38" s="87"/>
      <c r="MN38" s="87"/>
      <c r="MO38" s="87"/>
      <c r="MP38" s="87"/>
      <c r="MQ38" s="87"/>
      <c r="MR38" s="87"/>
      <c r="MS38" s="87"/>
      <c r="MT38" s="87"/>
      <c r="MU38" s="87"/>
      <c r="MV38" s="87"/>
      <c r="MW38" s="87"/>
      <c r="MX38" s="87"/>
      <c r="MY38" s="87"/>
      <c r="MZ38" s="87"/>
      <c r="NA38" s="87"/>
      <c r="NB38" s="87"/>
      <c r="NC38" s="87"/>
      <c r="ND38" s="87"/>
      <c r="NE38" s="87"/>
      <c r="NF38" s="87"/>
      <c r="NG38" s="87"/>
      <c r="NH38" s="87"/>
      <c r="NI38" s="87"/>
      <c r="NJ38" s="87"/>
      <c r="NK38" s="87"/>
      <c r="NL38" s="87"/>
      <c r="NM38" s="87"/>
      <c r="NN38" s="87"/>
      <c r="NO38" s="87"/>
      <c r="NP38" s="87"/>
      <c r="NQ38" s="87"/>
      <c r="NR38" s="87"/>
      <c r="NS38" s="87"/>
      <c r="NT38" s="87"/>
      <c r="NU38" s="87"/>
      <c r="NV38" s="87"/>
      <c r="NW38" s="87"/>
      <c r="NX38" s="87"/>
      <c r="NY38" s="87"/>
      <c r="NZ38" s="87"/>
      <c r="OA38" s="87"/>
      <c r="OB38" s="87"/>
      <c r="OC38" s="87"/>
      <c r="OD38" s="87"/>
      <c r="OE38" s="87"/>
      <c r="OF38" s="87"/>
      <c r="OG38" s="87"/>
      <c r="OH38" s="87"/>
      <c r="OI38" s="87"/>
      <c r="OJ38" s="87"/>
      <c r="OK38" s="87"/>
      <c r="OL38" s="87"/>
      <c r="OM38" s="87"/>
      <c r="ON38" s="87"/>
      <c r="OO38" s="87"/>
      <c r="OP38" s="87"/>
      <c r="OQ38" s="87"/>
      <c r="OR38" s="87"/>
      <c r="OS38" s="87"/>
      <c r="OT38" s="87"/>
      <c r="OU38" s="87"/>
      <c r="OV38" s="87"/>
      <c r="OW38" s="87"/>
      <c r="OX38" s="87"/>
      <c r="OY38" s="87"/>
      <c r="OZ38" s="87"/>
      <c r="PA38" s="87"/>
      <c r="PB38" s="87"/>
      <c r="PC38" s="87"/>
      <c r="PD38" s="87"/>
      <c r="PE38" s="87"/>
      <c r="PF38" s="87"/>
      <c r="PG38" s="87"/>
      <c r="PH38" s="87"/>
      <c r="PI38" s="87"/>
      <c r="PJ38" s="87"/>
      <c r="PK38" s="87"/>
      <c r="PL38" s="87"/>
      <c r="PM38" s="87"/>
      <c r="PN38" s="87"/>
      <c r="PO38" s="87"/>
      <c r="PP38" s="87"/>
      <c r="PQ38" s="87"/>
      <c r="PR38" s="87"/>
      <c r="PS38" s="87"/>
      <c r="PT38" s="87"/>
      <c r="PU38" s="87"/>
      <c r="PV38" s="87"/>
      <c r="PW38" s="87"/>
      <c r="PX38" s="87"/>
      <c r="PY38" s="87"/>
      <c r="PZ38" s="87"/>
      <c r="QA38" s="87"/>
      <c r="QB38" s="87"/>
      <c r="QC38" s="87"/>
      <c r="QD38" s="87"/>
      <c r="QE38" s="87"/>
      <c r="QF38" s="87"/>
      <c r="QG38" s="87"/>
      <c r="QH38" s="87"/>
      <c r="QI38" s="87"/>
      <c r="QJ38" s="87"/>
      <c r="QK38" s="87"/>
      <c r="QL38" s="87"/>
      <c r="QM38" s="87"/>
      <c r="QN38" s="87"/>
      <c r="QO38" s="87"/>
      <c r="QP38" s="87"/>
      <c r="QQ38" s="87"/>
      <c r="QR38" s="87"/>
      <c r="QS38" s="87"/>
      <c r="QT38" s="87"/>
      <c r="QU38" s="87"/>
      <c r="QV38" s="87"/>
      <c r="QW38" s="87"/>
      <c r="QX38" s="87"/>
      <c r="QY38" s="87"/>
      <c r="QZ38" s="87"/>
      <c r="RA38" s="87"/>
      <c r="RB38" s="87"/>
      <c r="RC38" s="87"/>
      <c r="RD38" s="87"/>
      <c r="RE38" s="87"/>
      <c r="RF38" s="87"/>
      <c r="RG38" s="87"/>
      <c r="RH38" s="87"/>
      <c r="RI38" s="87"/>
      <c r="RJ38" s="87"/>
      <c r="RK38" s="87"/>
      <c r="RL38" s="87"/>
      <c r="RM38" s="87"/>
      <c r="RN38" s="87"/>
      <c r="RO38" s="87"/>
      <c r="RP38" s="87"/>
      <c r="RQ38" s="87"/>
      <c r="RR38" s="87"/>
      <c r="RS38" s="87"/>
      <c r="RT38" s="87"/>
      <c r="RU38" s="87"/>
      <c r="RV38" s="87"/>
      <c r="RW38" s="87"/>
      <c r="RX38" s="87"/>
      <c r="RY38" s="87"/>
      <c r="RZ38" s="87"/>
      <c r="SA38" s="87"/>
      <c r="SB38" s="87"/>
      <c r="SC38" s="87"/>
      <c r="SD38" s="87"/>
      <c r="SE38" s="87"/>
      <c r="SF38" s="87"/>
      <c r="SG38" s="87"/>
      <c r="SH38" s="87"/>
      <c r="SI38" s="87"/>
      <c r="SJ38" s="87"/>
      <c r="SK38" s="87"/>
      <c r="SL38" s="87"/>
      <c r="SM38" s="87"/>
      <c r="SN38" s="87"/>
      <c r="SO38" s="87"/>
      <c r="SP38" s="87"/>
      <c r="SQ38" s="87"/>
      <c r="SR38" s="87"/>
      <c r="SS38" s="87"/>
      <c r="ST38" s="87"/>
      <c r="SU38" s="87"/>
      <c r="SV38" s="87"/>
      <c r="SW38" s="87"/>
      <c r="SX38" s="87"/>
      <c r="SY38" s="87"/>
      <c r="SZ38" s="87"/>
      <c r="TA38" s="87"/>
      <c r="TB38" s="87"/>
      <c r="TC38" s="87"/>
      <c r="TD38" s="87"/>
      <c r="TE38" s="87"/>
      <c r="TF38" s="87"/>
      <c r="TG38" s="87"/>
      <c r="TH38" s="87"/>
      <c r="TI38" s="87"/>
      <c r="TJ38" s="87"/>
      <c r="TK38" s="87"/>
      <c r="TL38" s="87"/>
      <c r="TM38" s="87"/>
      <c r="TN38" s="87"/>
      <c r="TO38" s="87"/>
      <c r="TP38" s="87"/>
      <c r="TQ38" s="87"/>
      <c r="TR38" s="87"/>
      <c r="TS38" s="87"/>
      <c r="TT38" s="87"/>
      <c r="TU38" s="87"/>
      <c r="TV38" s="87"/>
      <c r="TW38" s="87"/>
      <c r="TX38" s="87"/>
      <c r="TY38" s="87"/>
      <c r="TZ38" s="87"/>
      <c r="UA38" s="87"/>
      <c r="UB38" s="87"/>
      <c r="UC38" s="87"/>
      <c r="UD38" s="87"/>
      <c r="UE38" s="87"/>
      <c r="UF38" s="87"/>
      <c r="UG38" s="87"/>
      <c r="UH38" s="87"/>
      <c r="UI38" s="87"/>
      <c r="UJ38" s="87"/>
      <c r="UK38" s="87"/>
      <c r="UL38" s="87"/>
      <c r="UM38" s="87"/>
      <c r="UN38" s="87"/>
      <c r="UO38" s="87"/>
      <c r="UP38" s="87"/>
      <c r="UQ38" s="87"/>
      <c r="UR38" s="87"/>
      <c r="US38" s="87"/>
      <c r="UT38" s="87"/>
      <c r="UU38" s="87"/>
      <c r="UV38" s="87"/>
      <c r="UW38" s="87"/>
      <c r="UX38" s="87"/>
      <c r="UY38" s="87"/>
      <c r="UZ38" s="87"/>
      <c r="VA38" s="87"/>
      <c r="VB38" s="87"/>
      <c r="VC38" s="87"/>
      <c r="VD38" s="87"/>
      <c r="VE38" s="87"/>
      <c r="VF38" s="87"/>
      <c r="VG38" s="87"/>
      <c r="VH38" s="87"/>
      <c r="VI38" s="87"/>
      <c r="VJ38" s="87"/>
      <c r="VK38" s="87"/>
      <c r="VL38" s="87"/>
      <c r="VM38" s="87"/>
      <c r="VN38" s="87"/>
      <c r="VO38" s="87"/>
      <c r="VP38" s="87"/>
      <c r="VQ38" s="87"/>
      <c r="VR38" s="87"/>
      <c r="VS38" s="87"/>
      <c r="VT38" s="87"/>
      <c r="VU38" s="87"/>
      <c r="VV38" s="87"/>
      <c r="VW38" s="87"/>
      <c r="VX38" s="87"/>
      <c r="VY38" s="87"/>
      <c r="VZ38" s="87"/>
      <c r="WA38" s="87"/>
      <c r="WB38" s="87"/>
      <c r="WC38" s="87"/>
      <c r="WD38" s="87"/>
      <c r="WE38" s="87"/>
      <c r="WF38" s="87"/>
      <c r="WG38" s="87"/>
      <c r="WH38" s="87"/>
      <c r="WI38" s="87"/>
      <c r="WJ38" s="87"/>
      <c r="WK38" s="87"/>
      <c r="WL38" s="87"/>
      <c r="WM38" s="87"/>
      <c r="WN38" s="87"/>
      <c r="WO38" s="87"/>
      <c r="WP38" s="87"/>
      <c r="WQ38" s="87"/>
      <c r="WR38" s="87"/>
      <c r="WS38" s="87"/>
      <c r="WT38" s="87"/>
      <c r="WU38" s="87"/>
      <c r="WV38" s="87"/>
      <c r="WW38" s="87"/>
      <c r="WX38" s="87"/>
      <c r="WY38" s="87"/>
      <c r="WZ38" s="87"/>
      <c r="XA38" s="87"/>
      <c r="XB38" s="87"/>
      <c r="XC38" s="87"/>
      <c r="XD38" s="87"/>
      <c r="XE38" s="87"/>
      <c r="XF38" s="87"/>
      <c r="XG38" s="87"/>
      <c r="XH38" s="87"/>
      <c r="XI38" s="87"/>
      <c r="XJ38" s="87"/>
      <c r="XK38" s="87"/>
      <c r="XL38" s="87"/>
      <c r="XM38" s="87"/>
      <c r="XN38" s="87"/>
      <c r="XO38" s="87"/>
      <c r="XP38" s="87"/>
      <c r="XQ38" s="87"/>
      <c r="XR38" s="87"/>
      <c r="XS38" s="87"/>
      <c r="XT38" s="87"/>
      <c r="XU38" s="87"/>
      <c r="XV38" s="87"/>
      <c r="XW38" s="87"/>
      <c r="XX38" s="87"/>
      <c r="XY38" s="87"/>
      <c r="XZ38" s="87"/>
      <c r="YA38" s="87"/>
      <c r="YB38" s="87"/>
      <c r="YC38" s="87"/>
      <c r="YD38" s="87"/>
      <c r="YE38" s="87"/>
      <c r="YF38" s="87"/>
      <c r="YG38" s="87"/>
      <c r="YH38" s="87"/>
      <c r="YI38" s="87"/>
      <c r="YJ38" s="87"/>
      <c r="YK38" s="87"/>
      <c r="YL38" s="87"/>
      <c r="YM38" s="87"/>
      <c r="YN38" s="87"/>
      <c r="YO38" s="87"/>
      <c r="YP38" s="87"/>
      <c r="YQ38" s="87"/>
      <c r="YR38" s="87"/>
      <c r="YS38" s="87"/>
      <c r="YT38" s="87"/>
      <c r="YU38" s="87"/>
      <c r="YV38" s="87"/>
      <c r="YW38" s="87"/>
      <c r="YX38" s="87"/>
      <c r="YY38" s="87"/>
      <c r="YZ38" s="87"/>
      <c r="ZA38" s="87"/>
      <c r="ZB38" s="87"/>
      <c r="ZC38" s="87"/>
      <c r="ZD38" s="87"/>
      <c r="ZE38" s="87"/>
      <c r="ZF38" s="87"/>
      <c r="ZG38" s="87"/>
      <c r="ZH38" s="87"/>
      <c r="ZI38" s="87"/>
      <c r="ZJ38" s="87"/>
      <c r="ZK38" s="87"/>
      <c r="ZL38" s="87"/>
      <c r="ZM38" s="87"/>
      <c r="ZN38" s="87"/>
      <c r="ZO38" s="87"/>
      <c r="ZP38" s="87"/>
      <c r="ZQ38" s="87"/>
      <c r="ZR38" s="87"/>
      <c r="ZS38" s="87"/>
      <c r="ZT38" s="87"/>
      <c r="ZU38" s="87"/>
      <c r="ZV38" s="87"/>
      <c r="ZW38" s="87"/>
      <c r="ZX38" s="87"/>
      <c r="ZY38" s="87"/>
      <c r="ZZ38" s="87"/>
      <c r="AAA38" s="87"/>
      <c r="AAB38" s="87"/>
      <c r="AAC38" s="87"/>
      <c r="AAD38" s="87"/>
      <c r="AAE38" s="87"/>
      <c r="AAF38" s="87"/>
      <c r="AAG38" s="87"/>
      <c r="AAH38" s="87"/>
      <c r="AAI38" s="87"/>
      <c r="AAJ38" s="87"/>
      <c r="AAK38" s="87"/>
      <c r="AAL38" s="87"/>
      <c r="AAM38" s="87"/>
      <c r="AAN38" s="87"/>
      <c r="AAO38" s="87"/>
      <c r="AAP38" s="87"/>
      <c r="AAQ38" s="87"/>
      <c r="AAR38" s="87"/>
      <c r="AAS38" s="87"/>
      <c r="AAT38" s="87"/>
      <c r="AAU38" s="87"/>
      <c r="AAV38" s="87"/>
      <c r="AAW38" s="87"/>
      <c r="AAX38" s="87"/>
      <c r="AAY38" s="87"/>
      <c r="AAZ38" s="87"/>
      <c r="ABA38" s="87"/>
      <c r="ABB38" s="87"/>
      <c r="ABC38" s="87"/>
      <c r="ABD38" s="87"/>
      <c r="ABE38" s="87"/>
      <c r="ABF38" s="87"/>
      <c r="ABG38" s="87"/>
      <c r="ABH38" s="87"/>
      <c r="ABI38" s="87"/>
      <c r="ABJ38" s="87"/>
      <c r="ABK38" s="87"/>
      <c r="ABL38" s="87"/>
      <c r="ABM38" s="87"/>
      <c r="ABN38" s="87"/>
      <c r="ABO38" s="87"/>
      <c r="ABP38" s="87"/>
      <c r="ABQ38" s="87"/>
      <c r="ABR38" s="87"/>
      <c r="ABS38" s="87"/>
      <c r="ABT38" s="87"/>
      <c r="ABU38" s="87"/>
      <c r="ABV38" s="87"/>
      <c r="ABW38" s="87"/>
      <c r="ABX38" s="87"/>
      <c r="ABY38" s="87"/>
      <c r="ABZ38" s="87"/>
      <c r="ACA38" s="87"/>
      <c r="ACB38" s="87"/>
      <c r="ACC38" s="87"/>
      <c r="ACD38" s="87"/>
      <c r="ACE38" s="87"/>
      <c r="ACF38" s="87"/>
      <c r="ACG38" s="87"/>
      <c r="ACH38" s="87"/>
      <c r="ACI38" s="87"/>
      <c r="ACJ38" s="87"/>
      <c r="ACK38" s="87"/>
      <c r="ACL38" s="87"/>
      <c r="ACM38" s="87"/>
      <c r="ACN38" s="87"/>
      <c r="ACO38" s="87"/>
      <c r="ACP38" s="87"/>
      <c r="ACQ38" s="87"/>
      <c r="ACR38" s="87"/>
      <c r="ACS38" s="87"/>
      <c r="ACT38" s="87"/>
      <c r="ACU38" s="87"/>
      <c r="ACV38" s="87"/>
      <c r="ACW38" s="87"/>
      <c r="ACX38" s="87"/>
      <c r="ACY38" s="87"/>
      <c r="ACZ38" s="87"/>
      <c r="ADA38" s="87"/>
      <c r="ADB38" s="87"/>
      <c r="ADC38" s="87"/>
      <c r="ADD38" s="87"/>
      <c r="ADE38" s="87"/>
      <c r="ADF38" s="87"/>
      <c r="ADG38" s="87"/>
      <c r="ADH38" s="87"/>
      <c r="ADI38" s="87"/>
      <c r="ADJ38" s="87"/>
      <c r="ADK38" s="87"/>
      <c r="ADL38" s="87"/>
      <c r="ADM38" s="87"/>
      <c r="ADN38" s="87"/>
      <c r="ADO38" s="87"/>
      <c r="ADP38" s="87"/>
      <c r="ADQ38" s="87"/>
      <c r="ADR38" s="87"/>
      <c r="ADS38" s="87"/>
      <c r="ADT38" s="87"/>
      <c r="ADU38" s="87"/>
      <c r="ADV38" s="87"/>
      <c r="ADW38" s="87"/>
      <c r="ADX38" s="87"/>
      <c r="ADY38" s="87"/>
      <c r="ADZ38" s="87"/>
      <c r="AEA38" s="87"/>
      <c r="AEB38" s="87"/>
      <c r="AEC38" s="87"/>
      <c r="AED38" s="87"/>
      <c r="AEE38" s="87"/>
      <c r="AEF38" s="87"/>
      <c r="AEG38" s="87"/>
      <c r="AEH38" s="87"/>
      <c r="AEI38" s="87"/>
      <c r="AEJ38" s="87"/>
      <c r="AEK38" s="87"/>
      <c r="AEL38" s="87"/>
      <c r="AEM38" s="87"/>
      <c r="AEN38" s="87"/>
      <c r="AEO38" s="87"/>
      <c r="AEP38" s="87"/>
      <c r="AEQ38" s="87"/>
      <c r="AER38" s="87"/>
      <c r="AES38" s="87"/>
      <c r="AET38" s="87"/>
      <c r="AEU38" s="87"/>
      <c r="AEV38" s="87"/>
      <c r="AEW38" s="87"/>
      <c r="AEX38" s="87"/>
      <c r="AEY38" s="87"/>
      <c r="AEZ38" s="87"/>
      <c r="AFA38" s="87"/>
      <c r="AFB38" s="87"/>
      <c r="AFC38" s="87"/>
      <c r="AFD38" s="87"/>
      <c r="AFE38" s="87"/>
      <c r="AFF38" s="87"/>
      <c r="AFG38" s="87"/>
      <c r="AFH38" s="87"/>
      <c r="AFI38" s="87"/>
      <c r="AFJ38" s="87"/>
      <c r="AFK38" s="87"/>
      <c r="AFL38" s="87"/>
      <c r="AFM38" s="87"/>
      <c r="AFN38" s="87"/>
      <c r="AFO38" s="87"/>
      <c r="AFP38" s="87"/>
      <c r="AFQ38" s="87"/>
      <c r="AFR38" s="87"/>
      <c r="AFS38" s="87"/>
      <c r="AFT38" s="87"/>
      <c r="AFU38" s="87"/>
      <c r="AFV38" s="87"/>
      <c r="AFW38" s="87"/>
      <c r="AFX38" s="87"/>
      <c r="AFY38" s="87"/>
      <c r="AFZ38" s="87"/>
      <c r="AGA38" s="87"/>
      <c r="AGB38" s="87"/>
      <c r="AGC38" s="87"/>
      <c r="AGD38" s="87"/>
      <c r="AGE38" s="87"/>
      <c r="AGF38" s="87"/>
      <c r="AGG38" s="87"/>
      <c r="AGH38" s="87"/>
      <c r="AGI38" s="87"/>
      <c r="AGJ38" s="87"/>
      <c r="AGK38" s="87"/>
      <c r="AGL38" s="87"/>
      <c r="AGM38" s="87"/>
      <c r="AGN38" s="87"/>
      <c r="AGO38" s="87"/>
      <c r="AGP38" s="87"/>
      <c r="AGQ38" s="87"/>
      <c r="AGR38" s="87"/>
      <c r="AGS38" s="87"/>
      <c r="AGT38" s="87"/>
      <c r="AGU38" s="87"/>
      <c r="AGV38" s="87"/>
      <c r="AGW38" s="87"/>
      <c r="AGX38" s="87"/>
      <c r="AGY38" s="87"/>
      <c r="AGZ38" s="87"/>
      <c r="AHA38" s="87"/>
      <c r="AHB38" s="87"/>
      <c r="AHC38" s="87"/>
      <c r="AHD38" s="87"/>
      <c r="AHE38" s="87"/>
      <c r="AHF38" s="87"/>
      <c r="AHG38" s="87"/>
      <c r="AHH38" s="87"/>
      <c r="AHI38" s="87"/>
      <c r="AHJ38" s="87"/>
      <c r="AHK38" s="87"/>
      <c r="AHL38" s="87"/>
      <c r="AHM38" s="87"/>
      <c r="AHN38" s="87"/>
      <c r="AHO38" s="87"/>
      <c r="AHP38" s="87"/>
      <c r="AHQ38" s="87"/>
      <c r="AHR38" s="87"/>
      <c r="AHS38" s="87"/>
      <c r="AHT38" s="87"/>
      <c r="AHU38" s="87"/>
      <c r="AHV38" s="87"/>
      <c r="AHW38" s="87"/>
      <c r="AHX38" s="87"/>
      <c r="AHY38" s="87"/>
      <c r="AHZ38" s="87"/>
      <c r="AIA38" s="87"/>
      <c r="AIB38" s="87"/>
      <c r="AIC38" s="87"/>
      <c r="AID38" s="87"/>
      <c r="AIE38" s="87"/>
      <c r="AIF38" s="87"/>
      <c r="AIG38" s="87"/>
      <c r="AIH38" s="87"/>
      <c r="AII38" s="87"/>
      <c r="AIJ38" s="87"/>
      <c r="AIK38" s="87"/>
      <c r="AIL38" s="87"/>
      <c r="AIM38" s="87"/>
      <c r="AIN38" s="87"/>
      <c r="AIO38" s="87"/>
      <c r="AIP38" s="87"/>
      <c r="AIQ38" s="87"/>
      <c r="AIR38" s="87"/>
      <c r="AIS38" s="87"/>
      <c r="AIT38" s="87"/>
      <c r="AIU38" s="87"/>
      <c r="AIV38" s="87"/>
      <c r="AIW38" s="87"/>
      <c r="AIX38" s="87"/>
      <c r="AIY38" s="87"/>
      <c r="AIZ38" s="87"/>
      <c r="AJA38" s="87"/>
      <c r="AJB38" s="87"/>
      <c r="AJC38" s="87"/>
      <c r="AJD38" s="87"/>
      <c r="AJE38" s="87"/>
      <c r="AJF38" s="87"/>
      <c r="AJG38" s="87"/>
      <c r="AJH38" s="87"/>
      <c r="AJI38" s="87"/>
      <c r="AJJ38" s="87"/>
      <c r="AJK38" s="87"/>
      <c r="AJL38" s="87"/>
      <c r="AJM38" s="87"/>
      <c r="AJN38" s="87"/>
      <c r="AJO38" s="87"/>
      <c r="AJP38" s="87"/>
      <c r="AJQ38" s="87"/>
      <c r="AJR38" s="87"/>
      <c r="AJS38" s="87"/>
      <c r="AJT38" s="87"/>
      <c r="AJU38" s="87"/>
      <c r="AJV38" s="87"/>
      <c r="AJW38" s="87"/>
      <c r="AJX38" s="87"/>
      <c r="AJY38" s="87"/>
      <c r="AJZ38" s="87"/>
      <c r="AKA38" s="87"/>
      <c r="AKB38" s="87"/>
      <c r="AKC38" s="87"/>
      <c r="AKD38" s="87"/>
      <c r="AKE38" s="87"/>
      <c r="AKF38" s="87"/>
      <c r="AKG38" s="87"/>
      <c r="AKH38" s="87"/>
      <c r="AKI38" s="87"/>
      <c r="AKJ38" s="87"/>
      <c r="AKK38" s="87"/>
      <c r="AKL38" s="87"/>
      <c r="AKM38" s="87"/>
      <c r="AKN38" s="87"/>
      <c r="AKO38" s="87"/>
      <c r="AKP38" s="87"/>
      <c r="AKQ38" s="87"/>
      <c r="AKR38" s="87"/>
      <c r="AKS38" s="87"/>
      <c r="AKT38" s="87"/>
      <c r="AKU38" s="87"/>
      <c r="AKV38" s="87"/>
      <c r="AKW38" s="87"/>
      <c r="AKX38" s="87"/>
      <c r="AKY38" s="87"/>
      <c r="AKZ38" s="87"/>
      <c r="ALA38" s="87"/>
    </row>
    <row r="39" spans="1:989" ht="25.15" customHeight="1" x14ac:dyDescent="0.25">
      <c r="A39" s="206">
        <v>3</v>
      </c>
      <c r="B39" s="206"/>
      <c r="C39" s="99" t="s">
        <v>193</v>
      </c>
      <c r="D39" s="90" t="s">
        <v>4</v>
      </c>
      <c r="E39" s="210" t="s">
        <v>133</v>
      </c>
      <c r="F39" s="211"/>
      <c r="G39" s="100">
        <f>G44</f>
        <v>31.4</v>
      </c>
    </row>
    <row r="40" spans="1:989" ht="25.15" customHeight="1" x14ac:dyDescent="0.25">
      <c r="A40" s="92" t="s">
        <v>16</v>
      </c>
      <c r="B40" s="92" t="s">
        <v>0</v>
      </c>
      <c r="C40" s="92" t="s">
        <v>88</v>
      </c>
      <c r="D40" s="92" t="s">
        <v>5</v>
      </c>
      <c r="E40" s="92" t="s">
        <v>89</v>
      </c>
      <c r="F40" s="92" t="s">
        <v>90</v>
      </c>
      <c r="G40" s="93" t="s">
        <v>91</v>
      </c>
    </row>
    <row r="41" spans="1:989" ht="25.15" customHeight="1" x14ac:dyDescent="0.25">
      <c r="A41" s="89" t="s">
        <v>2</v>
      </c>
      <c r="B41" s="89">
        <v>88323</v>
      </c>
      <c r="C41" s="101" t="s">
        <v>194</v>
      </c>
      <c r="D41" s="94" t="s">
        <v>93</v>
      </c>
      <c r="E41" s="105">
        <f>10/60</f>
        <v>0.16666666666666666</v>
      </c>
      <c r="F41" s="96">
        <v>28.87</v>
      </c>
      <c r="G41" s="104">
        <f t="shared" ref="G41:G43" si="2">ROUND(E41*F41,2)</f>
        <v>4.8099999999999996</v>
      </c>
    </row>
    <row r="42" spans="1:989" ht="25.15" customHeight="1" x14ac:dyDescent="0.25">
      <c r="A42" s="89" t="s">
        <v>2</v>
      </c>
      <c r="B42" s="89">
        <v>88316</v>
      </c>
      <c r="C42" s="101" t="s">
        <v>94</v>
      </c>
      <c r="D42" s="94" t="s">
        <v>93</v>
      </c>
      <c r="E42" s="105">
        <v>0.2</v>
      </c>
      <c r="F42" s="96">
        <v>25.43</v>
      </c>
      <c r="G42" s="104">
        <f t="shared" si="2"/>
        <v>5.09</v>
      </c>
    </row>
    <row r="43" spans="1:989" ht="25.15" customHeight="1" x14ac:dyDescent="0.25">
      <c r="A43" s="89" t="s">
        <v>195</v>
      </c>
      <c r="B43" s="154" t="s">
        <v>393</v>
      </c>
      <c r="C43" s="101" t="s">
        <v>196</v>
      </c>
      <c r="D43" s="90" t="s">
        <v>99</v>
      </c>
      <c r="E43" s="128">
        <v>1</v>
      </c>
      <c r="F43" s="96">
        <v>21.5</v>
      </c>
      <c r="G43" s="104">
        <f t="shared" si="2"/>
        <v>21.5</v>
      </c>
    </row>
    <row r="44" spans="1:989" ht="25.15" customHeight="1" x14ac:dyDescent="0.25">
      <c r="A44" s="207" t="s">
        <v>95</v>
      </c>
      <c r="B44" s="208"/>
      <c r="C44" s="208"/>
      <c r="D44" s="208"/>
      <c r="E44" s="208"/>
      <c r="F44" s="209"/>
      <c r="G44" s="98">
        <f>ROUND(SUM(G41:G43),2)</f>
        <v>31.4</v>
      </c>
    </row>
    <row r="45" spans="1:989" s="5" customFormat="1" x14ac:dyDescent="0.25">
      <c r="C45" s="70"/>
      <c r="G45" s="84"/>
    </row>
    <row r="46" spans="1:989" s="88" customFormat="1" ht="25.15" customHeight="1" x14ac:dyDescent="0.2">
      <c r="A46" s="212" t="s">
        <v>0</v>
      </c>
      <c r="B46" s="212"/>
      <c r="C46" s="85" t="s">
        <v>86</v>
      </c>
      <c r="D46" s="85" t="s">
        <v>5</v>
      </c>
      <c r="E46" s="212" t="s">
        <v>16</v>
      </c>
      <c r="F46" s="212"/>
      <c r="G46" s="86" t="s">
        <v>87</v>
      </c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7"/>
      <c r="BX46" s="87"/>
      <c r="BY46" s="87"/>
      <c r="BZ46" s="87"/>
      <c r="CA46" s="87"/>
      <c r="CB46" s="87"/>
      <c r="CC46" s="87"/>
      <c r="CD46" s="87"/>
      <c r="CE46" s="87"/>
      <c r="CF46" s="87"/>
      <c r="CG46" s="87"/>
      <c r="CH46" s="87"/>
      <c r="CI46" s="87"/>
      <c r="CJ46" s="87"/>
      <c r="CK46" s="87"/>
      <c r="CL46" s="87"/>
      <c r="CM46" s="87"/>
      <c r="CN46" s="87"/>
      <c r="CO46" s="87"/>
      <c r="CP46" s="87"/>
      <c r="CQ46" s="87"/>
      <c r="CR46" s="87"/>
      <c r="CS46" s="87"/>
      <c r="CT46" s="87"/>
      <c r="CU46" s="87"/>
      <c r="CV46" s="87"/>
      <c r="CW46" s="87"/>
      <c r="CX46" s="87"/>
      <c r="CY46" s="87"/>
      <c r="CZ46" s="87"/>
      <c r="DA46" s="87"/>
      <c r="DB46" s="87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7"/>
      <c r="DN46" s="87"/>
      <c r="DO46" s="87"/>
      <c r="DP46" s="87"/>
      <c r="DQ46" s="87"/>
      <c r="DR46" s="87"/>
      <c r="DS46" s="87"/>
      <c r="DT46" s="87"/>
      <c r="DU46" s="87"/>
      <c r="DV46" s="87"/>
      <c r="DW46" s="87"/>
      <c r="DX46" s="87"/>
      <c r="DY46" s="87"/>
      <c r="DZ46" s="87"/>
      <c r="EA46" s="87"/>
      <c r="EB46" s="87"/>
      <c r="EC46" s="87"/>
      <c r="ED46" s="87"/>
      <c r="EE46" s="87"/>
      <c r="EF46" s="87"/>
      <c r="EG46" s="87"/>
      <c r="EH46" s="87"/>
      <c r="EI46" s="87"/>
      <c r="EJ46" s="87"/>
      <c r="EK46" s="87"/>
      <c r="EL46" s="87"/>
      <c r="EM46" s="87"/>
      <c r="EN46" s="87"/>
      <c r="EO46" s="87"/>
      <c r="EP46" s="87"/>
      <c r="EQ46" s="87"/>
      <c r="ER46" s="87"/>
      <c r="ES46" s="87"/>
      <c r="ET46" s="87"/>
      <c r="EU46" s="87"/>
      <c r="EV46" s="87"/>
      <c r="EW46" s="87"/>
      <c r="EX46" s="87"/>
      <c r="EY46" s="87"/>
      <c r="EZ46" s="87"/>
      <c r="FA46" s="87"/>
      <c r="FB46" s="87"/>
      <c r="FC46" s="87"/>
      <c r="FD46" s="87"/>
      <c r="FE46" s="87"/>
      <c r="FF46" s="87"/>
      <c r="FG46" s="87"/>
      <c r="FH46" s="87"/>
      <c r="FI46" s="87"/>
      <c r="FJ46" s="87"/>
      <c r="FK46" s="87"/>
      <c r="FL46" s="87"/>
      <c r="FM46" s="87"/>
      <c r="FN46" s="87"/>
      <c r="FO46" s="87"/>
      <c r="FP46" s="87"/>
      <c r="FQ46" s="87"/>
      <c r="FR46" s="87"/>
      <c r="FS46" s="87"/>
      <c r="FT46" s="87"/>
      <c r="FU46" s="87"/>
      <c r="FV46" s="87"/>
      <c r="FW46" s="87"/>
      <c r="FX46" s="87"/>
      <c r="FY46" s="87"/>
      <c r="FZ46" s="87"/>
      <c r="GA46" s="87"/>
      <c r="GB46" s="87"/>
      <c r="GC46" s="87"/>
      <c r="GD46" s="87"/>
      <c r="GE46" s="87"/>
      <c r="GF46" s="87"/>
      <c r="GG46" s="87"/>
      <c r="GH46" s="87"/>
      <c r="GI46" s="87"/>
      <c r="GJ46" s="87"/>
      <c r="GK46" s="87"/>
      <c r="GL46" s="87"/>
      <c r="GM46" s="87"/>
      <c r="GN46" s="87"/>
      <c r="GO46" s="87"/>
      <c r="GP46" s="87"/>
      <c r="GQ46" s="87"/>
      <c r="GR46" s="87"/>
      <c r="GS46" s="87"/>
      <c r="GT46" s="87"/>
      <c r="GU46" s="87"/>
      <c r="GV46" s="87"/>
      <c r="GW46" s="87"/>
      <c r="GX46" s="87"/>
      <c r="GY46" s="87"/>
      <c r="GZ46" s="87"/>
      <c r="HA46" s="87"/>
      <c r="HB46" s="87"/>
      <c r="HC46" s="87"/>
      <c r="HD46" s="87"/>
      <c r="HE46" s="87"/>
      <c r="HF46" s="87"/>
      <c r="HG46" s="87"/>
      <c r="HH46" s="87"/>
      <c r="HI46" s="87"/>
      <c r="HJ46" s="87"/>
      <c r="HK46" s="87"/>
      <c r="HL46" s="87"/>
      <c r="HM46" s="87"/>
      <c r="HN46" s="87"/>
      <c r="HO46" s="87"/>
      <c r="HP46" s="87"/>
      <c r="HQ46" s="87"/>
      <c r="HR46" s="87"/>
      <c r="HS46" s="87"/>
      <c r="HT46" s="87"/>
      <c r="HU46" s="87"/>
      <c r="HV46" s="87"/>
      <c r="HW46" s="87"/>
      <c r="HX46" s="87"/>
      <c r="HY46" s="87"/>
      <c r="HZ46" s="87"/>
      <c r="IA46" s="87"/>
      <c r="IB46" s="87"/>
      <c r="IC46" s="87"/>
      <c r="ID46" s="87"/>
      <c r="IE46" s="87"/>
      <c r="IF46" s="87"/>
      <c r="IG46" s="87"/>
      <c r="IH46" s="87"/>
      <c r="II46" s="87"/>
      <c r="IJ46" s="87"/>
      <c r="IK46" s="87"/>
      <c r="IL46" s="87"/>
      <c r="IM46" s="87"/>
      <c r="IN46" s="87"/>
      <c r="IO46" s="87"/>
      <c r="IP46" s="87"/>
      <c r="IQ46" s="87"/>
      <c r="IR46" s="87"/>
      <c r="IS46" s="87"/>
      <c r="IT46" s="87"/>
      <c r="IU46" s="87"/>
      <c r="IV46" s="87"/>
      <c r="IW46" s="87"/>
      <c r="IX46" s="87"/>
      <c r="IY46" s="87"/>
      <c r="IZ46" s="87"/>
      <c r="JA46" s="87"/>
      <c r="JB46" s="87"/>
      <c r="JC46" s="87"/>
      <c r="JD46" s="87"/>
      <c r="JE46" s="87"/>
      <c r="JF46" s="87"/>
      <c r="JG46" s="87"/>
      <c r="JH46" s="87"/>
      <c r="JI46" s="87"/>
      <c r="JJ46" s="87"/>
      <c r="JK46" s="87"/>
      <c r="JL46" s="87"/>
      <c r="JM46" s="87"/>
      <c r="JN46" s="87"/>
      <c r="JO46" s="87"/>
      <c r="JP46" s="87"/>
      <c r="JQ46" s="87"/>
      <c r="JR46" s="87"/>
      <c r="JS46" s="87"/>
      <c r="JT46" s="87"/>
      <c r="JU46" s="87"/>
      <c r="JV46" s="87"/>
      <c r="JW46" s="87"/>
      <c r="JX46" s="87"/>
      <c r="JY46" s="87"/>
      <c r="JZ46" s="87"/>
      <c r="KA46" s="87"/>
      <c r="KB46" s="87"/>
      <c r="KC46" s="87"/>
      <c r="KD46" s="87"/>
      <c r="KE46" s="87"/>
      <c r="KF46" s="87"/>
      <c r="KG46" s="87"/>
      <c r="KH46" s="87"/>
      <c r="KI46" s="87"/>
      <c r="KJ46" s="87"/>
      <c r="KK46" s="87"/>
      <c r="KL46" s="87"/>
      <c r="KM46" s="87"/>
      <c r="KN46" s="87"/>
      <c r="KO46" s="87"/>
      <c r="KP46" s="87"/>
      <c r="KQ46" s="87"/>
      <c r="KR46" s="87"/>
      <c r="KS46" s="87"/>
      <c r="KT46" s="87"/>
      <c r="KU46" s="87"/>
      <c r="KV46" s="87"/>
      <c r="KW46" s="87"/>
      <c r="KX46" s="87"/>
      <c r="KY46" s="87"/>
      <c r="KZ46" s="87"/>
      <c r="LA46" s="87"/>
      <c r="LB46" s="87"/>
      <c r="LC46" s="87"/>
      <c r="LD46" s="87"/>
      <c r="LE46" s="87"/>
      <c r="LF46" s="87"/>
      <c r="LG46" s="87"/>
      <c r="LH46" s="87"/>
      <c r="LI46" s="87"/>
      <c r="LJ46" s="87"/>
      <c r="LK46" s="87"/>
      <c r="LL46" s="87"/>
      <c r="LM46" s="87"/>
      <c r="LN46" s="87"/>
      <c r="LO46" s="87"/>
      <c r="LP46" s="87"/>
      <c r="LQ46" s="87"/>
      <c r="LR46" s="87"/>
      <c r="LS46" s="87"/>
      <c r="LT46" s="87"/>
      <c r="LU46" s="87"/>
      <c r="LV46" s="87"/>
      <c r="LW46" s="87"/>
      <c r="LX46" s="87"/>
      <c r="LY46" s="87"/>
      <c r="LZ46" s="87"/>
      <c r="MA46" s="87"/>
      <c r="MB46" s="87"/>
      <c r="MC46" s="87"/>
      <c r="MD46" s="87"/>
      <c r="ME46" s="87"/>
      <c r="MF46" s="87"/>
      <c r="MG46" s="87"/>
      <c r="MH46" s="87"/>
      <c r="MI46" s="87"/>
      <c r="MJ46" s="87"/>
      <c r="MK46" s="87"/>
      <c r="ML46" s="87"/>
      <c r="MM46" s="87"/>
      <c r="MN46" s="87"/>
      <c r="MO46" s="87"/>
      <c r="MP46" s="87"/>
      <c r="MQ46" s="87"/>
      <c r="MR46" s="87"/>
      <c r="MS46" s="87"/>
      <c r="MT46" s="87"/>
      <c r="MU46" s="87"/>
      <c r="MV46" s="87"/>
      <c r="MW46" s="87"/>
      <c r="MX46" s="87"/>
      <c r="MY46" s="87"/>
      <c r="MZ46" s="87"/>
      <c r="NA46" s="87"/>
      <c r="NB46" s="87"/>
      <c r="NC46" s="87"/>
      <c r="ND46" s="87"/>
      <c r="NE46" s="87"/>
      <c r="NF46" s="87"/>
      <c r="NG46" s="87"/>
      <c r="NH46" s="87"/>
      <c r="NI46" s="87"/>
      <c r="NJ46" s="87"/>
      <c r="NK46" s="87"/>
      <c r="NL46" s="87"/>
      <c r="NM46" s="87"/>
      <c r="NN46" s="87"/>
      <c r="NO46" s="87"/>
      <c r="NP46" s="87"/>
      <c r="NQ46" s="87"/>
      <c r="NR46" s="87"/>
      <c r="NS46" s="87"/>
      <c r="NT46" s="87"/>
      <c r="NU46" s="87"/>
      <c r="NV46" s="87"/>
      <c r="NW46" s="87"/>
      <c r="NX46" s="87"/>
      <c r="NY46" s="87"/>
      <c r="NZ46" s="87"/>
      <c r="OA46" s="87"/>
      <c r="OB46" s="87"/>
      <c r="OC46" s="87"/>
      <c r="OD46" s="87"/>
      <c r="OE46" s="87"/>
      <c r="OF46" s="87"/>
      <c r="OG46" s="87"/>
      <c r="OH46" s="87"/>
      <c r="OI46" s="87"/>
      <c r="OJ46" s="87"/>
      <c r="OK46" s="87"/>
      <c r="OL46" s="87"/>
      <c r="OM46" s="87"/>
      <c r="ON46" s="87"/>
      <c r="OO46" s="87"/>
      <c r="OP46" s="87"/>
      <c r="OQ46" s="87"/>
      <c r="OR46" s="87"/>
      <c r="OS46" s="87"/>
      <c r="OT46" s="87"/>
      <c r="OU46" s="87"/>
      <c r="OV46" s="87"/>
      <c r="OW46" s="87"/>
      <c r="OX46" s="87"/>
      <c r="OY46" s="87"/>
      <c r="OZ46" s="87"/>
      <c r="PA46" s="87"/>
      <c r="PB46" s="87"/>
      <c r="PC46" s="87"/>
      <c r="PD46" s="87"/>
      <c r="PE46" s="87"/>
      <c r="PF46" s="87"/>
      <c r="PG46" s="87"/>
      <c r="PH46" s="87"/>
      <c r="PI46" s="87"/>
      <c r="PJ46" s="87"/>
      <c r="PK46" s="87"/>
      <c r="PL46" s="87"/>
      <c r="PM46" s="87"/>
      <c r="PN46" s="87"/>
      <c r="PO46" s="87"/>
      <c r="PP46" s="87"/>
      <c r="PQ46" s="87"/>
      <c r="PR46" s="87"/>
      <c r="PS46" s="87"/>
      <c r="PT46" s="87"/>
      <c r="PU46" s="87"/>
      <c r="PV46" s="87"/>
      <c r="PW46" s="87"/>
      <c r="PX46" s="87"/>
      <c r="PY46" s="87"/>
      <c r="PZ46" s="87"/>
      <c r="QA46" s="87"/>
      <c r="QB46" s="87"/>
      <c r="QC46" s="87"/>
      <c r="QD46" s="87"/>
      <c r="QE46" s="87"/>
      <c r="QF46" s="87"/>
      <c r="QG46" s="87"/>
      <c r="QH46" s="87"/>
      <c r="QI46" s="87"/>
      <c r="QJ46" s="87"/>
      <c r="QK46" s="87"/>
      <c r="QL46" s="87"/>
      <c r="QM46" s="87"/>
      <c r="QN46" s="87"/>
      <c r="QO46" s="87"/>
      <c r="QP46" s="87"/>
      <c r="QQ46" s="87"/>
      <c r="QR46" s="87"/>
      <c r="QS46" s="87"/>
      <c r="QT46" s="87"/>
      <c r="QU46" s="87"/>
      <c r="QV46" s="87"/>
      <c r="QW46" s="87"/>
      <c r="QX46" s="87"/>
      <c r="QY46" s="87"/>
      <c r="QZ46" s="87"/>
      <c r="RA46" s="87"/>
      <c r="RB46" s="87"/>
      <c r="RC46" s="87"/>
      <c r="RD46" s="87"/>
      <c r="RE46" s="87"/>
      <c r="RF46" s="87"/>
      <c r="RG46" s="87"/>
      <c r="RH46" s="87"/>
      <c r="RI46" s="87"/>
      <c r="RJ46" s="87"/>
      <c r="RK46" s="87"/>
      <c r="RL46" s="87"/>
      <c r="RM46" s="87"/>
      <c r="RN46" s="87"/>
      <c r="RO46" s="87"/>
      <c r="RP46" s="87"/>
      <c r="RQ46" s="87"/>
      <c r="RR46" s="87"/>
      <c r="RS46" s="87"/>
      <c r="RT46" s="87"/>
      <c r="RU46" s="87"/>
      <c r="RV46" s="87"/>
      <c r="RW46" s="87"/>
      <c r="RX46" s="87"/>
      <c r="RY46" s="87"/>
      <c r="RZ46" s="87"/>
      <c r="SA46" s="87"/>
      <c r="SB46" s="87"/>
      <c r="SC46" s="87"/>
      <c r="SD46" s="87"/>
      <c r="SE46" s="87"/>
      <c r="SF46" s="87"/>
      <c r="SG46" s="87"/>
      <c r="SH46" s="87"/>
      <c r="SI46" s="87"/>
      <c r="SJ46" s="87"/>
      <c r="SK46" s="87"/>
      <c r="SL46" s="87"/>
      <c r="SM46" s="87"/>
      <c r="SN46" s="87"/>
      <c r="SO46" s="87"/>
      <c r="SP46" s="87"/>
      <c r="SQ46" s="87"/>
      <c r="SR46" s="87"/>
      <c r="SS46" s="87"/>
      <c r="ST46" s="87"/>
      <c r="SU46" s="87"/>
      <c r="SV46" s="87"/>
      <c r="SW46" s="87"/>
      <c r="SX46" s="87"/>
      <c r="SY46" s="87"/>
      <c r="SZ46" s="87"/>
      <c r="TA46" s="87"/>
      <c r="TB46" s="87"/>
      <c r="TC46" s="87"/>
      <c r="TD46" s="87"/>
      <c r="TE46" s="87"/>
      <c r="TF46" s="87"/>
      <c r="TG46" s="87"/>
      <c r="TH46" s="87"/>
      <c r="TI46" s="87"/>
      <c r="TJ46" s="87"/>
      <c r="TK46" s="87"/>
      <c r="TL46" s="87"/>
      <c r="TM46" s="87"/>
      <c r="TN46" s="87"/>
      <c r="TO46" s="87"/>
      <c r="TP46" s="87"/>
      <c r="TQ46" s="87"/>
      <c r="TR46" s="87"/>
      <c r="TS46" s="87"/>
      <c r="TT46" s="87"/>
      <c r="TU46" s="87"/>
      <c r="TV46" s="87"/>
      <c r="TW46" s="87"/>
      <c r="TX46" s="87"/>
      <c r="TY46" s="87"/>
      <c r="TZ46" s="87"/>
      <c r="UA46" s="87"/>
      <c r="UB46" s="87"/>
      <c r="UC46" s="87"/>
      <c r="UD46" s="87"/>
      <c r="UE46" s="87"/>
      <c r="UF46" s="87"/>
      <c r="UG46" s="87"/>
      <c r="UH46" s="87"/>
      <c r="UI46" s="87"/>
      <c r="UJ46" s="87"/>
      <c r="UK46" s="87"/>
      <c r="UL46" s="87"/>
      <c r="UM46" s="87"/>
      <c r="UN46" s="87"/>
      <c r="UO46" s="87"/>
      <c r="UP46" s="87"/>
      <c r="UQ46" s="87"/>
      <c r="UR46" s="87"/>
      <c r="US46" s="87"/>
      <c r="UT46" s="87"/>
      <c r="UU46" s="87"/>
      <c r="UV46" s="87"/>
      <c r="UW46" s="87"/>
      <c r="UX46" s="87"/>
      <c r="UY46" s="87"/>
      <c r="UZ46" s="87"/>
      <c r="VA46" s="87"/>
      <c r="VB46" s="87"/>
      <c r="VC46" s="87"/>
      <c r="VD46" s="87"/>
      <c r="VE46" s="87"/>
      <c r="VF46" s="87"/>
      <c r="VG46" s="87"/>
      <c r="VH46" s="87"/>
      <c r="VI46" s="87"/>
      <c r="VJ46" s="87"/>
      <c r="VK46" s="87"/>
      <c r="VL46" s="87"/>
      <c r="VM46" s="87"/>
      <c r="VN46" s="87"/>
      <c r="VO46" s="87"/>
      <c r="VP46" s="87"/>
      <c r="VQ46" s="87"/>
      <c r="VR46" s="87"/>
      <c r="VS46" s="87"/>
      <c r="VT46" s="87"/>
      <c r="VU46" s="87"/>
      <c r="VV46" s="87"/>
      <c r="VW46" s="87"/>
      <c r="VX46" s="87"/>
      <c r="VY46" s="87"/>
      <c r="VZ46" s="87"/>
      <c r="WA46" s="87"/>
      <c r="WB46" s="87"/>
      <c r="WC46" s="87"/>
      <c r="WD46" s="87"/>
      <c r="WE46" s="87"/>
      <c r="WF46" s="87"/>
      <c r="WG46" s="87"/>
      <c r="WH46" s="87"/>
      <c r="WI46" s="87"/>
      <c r="WJ46" s="87"/>
      <c r="WK46" s="87"/>
      <c r="WL46" s="87"/>
      <c r="WM46" s="87"/>
      <c r="WN46" s="87"/>
      <c r="WO46" s="87"/>
      <c r="WP46" s="87"/>
      <c r="WQ46" s="87"/>
      <c r="WR46" s="87"/>
      <c r="WS46" s="87"/>
      <c r="WT46" s="87"/>
      <c r="WU46" s="87"/>
      <c r="WV46" s="87"/>
      <c r="WW46" s="87"/>
      <c r="WX46" s="87"/>
      <c r="WY46" s="87"/>
      <c r="WZ46" s="87"/>
      <c r="XA46" s="87"/>
      <c r="XB46" s="87"/>
      <c r="XC46" s="87"/>
      <c r="XD46" s="87"/>
      <c r="XE46" s="87"/>
      <c r="XF46" s="87"/>
      <c r="XG46" s="87"/>
      <c r="XH46" s="87"/>
      <c r="XI46" s="87"/>
      <c r="XJ46" s="87"/>
      <c r="XK46" s="87"/>
      <c r="XL46" s="87"/>
      <c r="XM46" s="87"/>
      <c r="XN46" s="87"/>
      <c r="XO46" s="87"/>
      <c r="XP46" s="87"/>
      <c r="XQ46" s="87"/>
      <c r="XR46" s="87"/>
      <c r="XS46" s="87"/>
      <c r="XT46" s="87"/>
      <c r="XU46" s="87"/>
      <c r="XV46" s="87"/>
      <c r="XW46" s="87"/>
      <c r="XX46" s="87"/>
      <c r="XY46" s="87"/>
      <c r="XZ46" s="87"/>
      <c r="YA46" s="87"/>
      <c r="YB46" s="87"/>
      <c r="YC46" s="87"/>
      <c r="YD46" s="87"/>
      <c r="YE46" s="87"/>
      <c r="YF46" s="87"/>
      <c r="YG46" s="87"/>
      <c r="YH46" s="87"/>
      <c r="YI46" s="87"/>
      <c r="YJ46" s="87"/>
      <c r="YK46" s="87"/>
      <c r="YL46" s="87"/>
      <c r="YM46" s="87"/>
      <c r="YN46" s="87"/>
      <c r="YO46" s="87"/>
      <c r="YP46" s="87"/>
      <c r="YQ46" s="87"/>
      <c r="YR46" s="87"/>
      <c r="YS46" s="87"/>
      <c r="YT46" s="87"/>
      <c r="YU46" s="87"/>
      <c r="YV46" s="87"/>
      <c r="YW46" s="87"/>
      <c r="YX46" s="87"/>
      <c r="YY46" s="87"/>
      <c r="YZ46" s="87"/>
      <c r="ZA46" s="87"/>
      <c r="ZB46" s="87"/>
      <c r="ZC46" s="87"/>
      <c r="ZD46" s="87"/>
      <c r="ZE46" s="87"/>
      <c r="ZF46" s="87"/>
      <c r="ZG46" s="87"/>
      <c r="ZH46" s="87"/>
      <c r="ZI46" s="87"/>
      <c r="ZJ46" s="87"/>
      <c r="ZK46" s="87"/>
      <c r="ZL46" s="87"/>
      <c r="ZM46" s="87"/>
      <c r="ZN46" s="87"/>
      <c r="ZO46" s="87"/>
      <c r="ZP46" s="87"/>
      <c r="ZQ46" s="87"/>
      <c r="ZR46" s="87"/>
      <c r="ZS46" s="87"/>
      <c r="ZT46" s="87"/>
      <c r="ZU46" s="87"/>
      <c r="ZV46" s="87"/>
      <c r="ZW46" s="87"/>
      <c r="ZX46" s="87"/>
      <c r="ZY46" s="87"/>
      <c r="ZZ46" s="87"/>
      <c r="AAA46" s="87"/>
      <c r="AAB46" s="87"/>
      <c r="AAC46" s="87"/>
      <c r="AAD46" s="87"/>
      <c r="AAE46" s="87"/>
      <c r="AAF46" s="87"/>
      <c r="AAG46" s="87"/>
      <c r="AAH46" s="87"/>
      <c r="AAI46" s="87"/>
      <c r="AAJ46" s="87"/>
      <c r="AAK46" s="87"/>
      <c r="AAL46" s="87"/>
      <c r="AAM46" s="87"/>
      <c r="AAN46" s="87"/>
      <c r="AAO46" s="87"/>
      <c r="AAP46" s="87"/>
      <c r="AAQ46" s="87"/>
      <c r="AAR46" s="87"/>
      <c r="AAS46" s="87"/>
      <c r="AAT46" s="87"/>
      <c r="AAU46" s="87"/>
      <c r="AAV46" s="87"/>
      <c r="AAW46" s="87"/>
      <c r="AAX46" s="87"/>
      <c r="AAY46" s="87"/>
      <c r="AAZ46" s="87"/>
      <c r="ABA46" s="87"/>
      <c r="ABB46" s="87"/>
      <c r="ABC46" s="87"/>
      <c r="ABD46" s="87"/>
      <c r="ABE46" s="87"/>
      <c r="ABF46" s="87"/>
      <c r="ABG46" s="87"/>
      <c r="ABH46" s="87"/>
      <c r="ABI46" s="87"/>
      <c r="ABJ46" s="87"/>
      <c r="ABK46" s="87"/>
      <c r="ABL46" s="87"/>
      <c r="ABM46" s="87"/>
      <c r="ABN46" s="87"/>
      <c r="ABO46" s="87"/>
      <c r="ABP46" s="87"/>
      <c r="ABQ46" s="87"/>
      <c r="ABR46" s="87"/>
      <c r="ABS46" s="87"/>
      <c r="ABT46" s="87"/>
      <c r="ABU46" s="87"/>
      <c r="ABV46" s="87"/>
      <c r="ABW46" s="87"/>
      <c r="ABX46" s="87"/>
      <c r="ABY46" s="87"/>
      <c r="ABZ46" s="87"/>
      <c r="ACA46" s="87"/>
      <c r="ACB46" s="87"/>
      <c r="ACC46" s="87"/>
      <c r="ACD46" s="87"/>
      <c r="ACE46" s="87"/>
      <c r="ACF46" s="87"/>
      <c r="ACG46" s="87"/>
      <c r="ACH46" s="87"/>
      <c r="ACI46" s="87"/>
      <c r="ACJ46" s="87"/>
      <c r="ACK46" s="87"/>
      <c r="ACL46" s="87"/>
      <c r="ACM46" s="87"/>
      <c r="ACN46" s="87"/>
      <c r="ACO46" s="87"/>
      <c r="ACP46" s="87"/>
      <c r="ACQ46" s="87"/>
      <c r="ACR46" s="87"/>
      <c r="ACS46" s="87"/>
      <c r="ACT46" s="87"/>
      <c r="ACU46" s="87"/>
      <c r="ACV46" s="87"/>
      <c r="ACW46" s="87"/>
      <c r="ACX46" s="87"/>
      <c r="ACY46" s="87"/>
      <c r="ACZ46" s="87"/>
      <c r="ADA46" s="87"/>
      <c r="ADB46" s="87"/>
      <c r="ADC46" s="87"/>
      <c r="ADD46" s="87"/>
      <c r="ADE46" s="87"/>
      <c r="ADF46" s="87"/>
      <c r="ADG46" s="87"/>
      <c r="ADH46" s="87"/>
      <c r="ADI46" s="87"/>
      <c r="ADJ46" s="87"/>
      <c r="ADK46" s="87"/>
      <c r="ADL46" s="87"/>
      <c r="ADM46" s="87"/>
      <c r="ADN46" s="87"/>
      <c r="ADO46" s="87"/>
      <c r="ADP46" s="87"/>
      <c r="ADQ46" s="87"/>
      <c r="ADR46" s="87"/>
      <c r="ADS46" s="87"/>
      <c r="ADT46" s="87"/>
      <c r="ADU46" s="87"/>
      <c r="ADV46" s="87"/>
      <c r="ADW46" s="87"/>
      <c r="ADX46" s="87"/>
      <c r="ADY46" s="87"/>
      <c r="ADZ46" s="87"/>
      <c r="AEA46" s="87"/>
      <c r="AEB46" s="87"/>
      <c r="AEC46" s="87"/>
      <c r="AED46" s="87"/>
      <c r="AEE46" s="87"/>
      <c r="AEF46" s="87"/>
      <c r="AEG46" s="87"/>
      <c r="AEH46" s="87"/>
      <c r="AEI46" s="87"/>
      <c r="AEJ46" s="87"/>
      <c r="AEK46" s="87"/>
      <c r="AEL46" s="87"/>
      <c r="AEM46" s="87"/>
      <c r="AEN46" s="87"/>
      <c r="AEO46" s="87"/>
      <c r="AEP46" s="87"/>
      <c r="AEQ46" s="87"/>
      <c r="AER46" s="87"/>
      <c r="AES46" s="87"/>
      <c r="AET46" s="87"/>
      <c r="AEU46" s="87"/>
      <c r="AEV46" s="87"/>
      <c r="AEW46" s="87"/>
      <c r="AEX46" s="87"/>
      <c r="AEY46" s="87"/>
      <c r="AEZ46" s="87"/>
      <c r="AFA46" s="87"/>
      <c r="AFB46" s="87"/>
      <c r="AFC46" s="87"/>
      <c r="AFD46" s="87"/>
      <c r="AFE46" s="87"/>
      <c r="AFF46" s="87"/>
      <c r="AFG46" s="87"/>
      <c r="AFH46" s="87"/>
      <c r="AFI46" s="87"/>
      <c r="AFJ46" s="87"/>
      <c r="AFK46" s="87"/>
      <c r="AFL46" s="87"/>
      <c r="AFM46" s="87"/>
      <c r="AFN46" s="87"/>
      <c r="AFO46" s="87"/>
      <c r="AFP46" s="87"/>
      <c r="AFQ46" s="87"/>
      <c r="AFR46" s="87"/>
      <c r="AFS46" s="87"/>
      <c r="AFT46" s="87"/>
      <c r="AFU46" s="87"/>
      <c r="AFV46" s="87"/>
      <c r="AFW46" s="87"/>
      <c r="AFX46" s="87"/>
      <c r="AFY46" s="87"/>
      <c r="AFZ46" s="87"/>
      <c r="AGA46" s="87"/>
      <c r="AGB46" s="87"/>
      <c r="AGC46" s="87"/>
      <c r="AGD46" s="87"/>
      <c r="AGE46" s="87"/>
      <c r="AGF46" s="87"/>
      <c r="AGG46" s="87"/>
      <c r="AGH46" s="87"/>
      <c r="AGI46" s="87"/>
      <c r="AGJ46" s="87"/>
      <c r="AGK46" s="87"/>
      <c r="AGL46" s="87"/>
      <c r="AGM46" s="87"/>
      <c r="AGN46" s="87"/>
      <c r="AGO46" s="87"/>
      <c r="AGP46" s="87"/>
      <c r="AGQ46" s="87"/>
      <c r="AGR46" s="87"/>
      <c r="AGS46" s="87"/>
      <c r="AGT46" s="87"/>
      <c r="AGU46" s="87"/>
      <c r="AGV46" s="87"/>
      <c r="AGW46" s="87"/>
      <c r="AGX46" s="87"/>
      <c r="AGY46" s="87"/>
      <c r="AGZ46" s="87"/>
      <c r="AHA46" s="87"/>
      <c r="AHB46" s="87"/>
      <c r="AHC46" s="87"/>
      <c r="AHD46" s="87"/>
      <c r="AHE46" s="87"/>
      <c r="AHF46" s="87"/>
      <c r="AHG46" s="87"/>
      <c r="AHH46" s="87"/>
      <c r="AHI46" s="87"/>
      <c r="AHJ46" s="87"/>
      <c r="AHK46" s="87"/>
      <c r="AHL46" s="87"/>
      <c r="AHM46" s="87"/>
      <c r="AHN46" s="87"/>
      <c r="AHO46" s="87"/>
      <c r="AHP46" s="87"/>
      <c r="AHQ46" s="87"/>
      <c r="AHR46" s="87"/>
      <c r="AHS46" s="87"/>
      <c r="AHT46" s="87"/>
      <c r="AHU46" s="87"/>
      <c r="AHV46" s="87"/>
      <c r="AHW46" s="87"/>
      <c r="AHX46" s="87"/>
      <c r="AHY46" s="87"/>
      <c r="AHZ46" s="87"/>
      <c r="AIA46" s="87"/>
      <c r="AIB46" s="87"/>
      <c r="AIC46" s="87"/>
      <c r="AID46" s="87"/>
      <c r="AIE46" s="87"/>
      <c r="AIF46" s="87"/>
      <c r="AIG46" s="87"/>
      <c r="AIH46" s="87"/>
      <c r="AII46" s="87"/>
      <c r="AIJ46" s="87"/>
      <c r="AIK46" s="87"/>
      <c r="AIL46" s="87"/>
      <c r="AIM46" s="87"/>
      <c r="AIN46" s="87"/>
      <c r="AIO46" s="87"/>
      <c r="AIP46" s="87"/>
      <c r="AIQ46" s="87"/>
      <c r="AIR46" s="87"/>
      <c r="AIS46" s="87"/>
      <c r="AIT46" s="87"/>
      <c r="AIU46" s="87"/>
      <c r="AIV46" s="87"/>
      <c r="AIW46" s="87"/>
      <c r="AIX46" s="87"/>
      <c r="AIY46" s="87"/>
      <c r="AIZ46" s="87"/>
      <c r="AJA46" s="87"/>
      <c r="AJB46" s="87"/>
      <c r="AJC46" s="87"/>
      <c r="AJD46" s="87"/>
      <c r="AJE46" s="87"/>
      <c r="AJF46" s="87"/>
      <c r="AJG46" s="87"/>
      <c r="AJH46" s="87"/>
      <c r="AJI46" s="87"/>
      <c r="AJJ46" s="87"/>
      <c r="AJK46" s="87"/>
      <c r="AJL46" s="87"/>
      <c r="AJM46" s="87"/>
      <c r="AJN46" s="87"/>
      <c r="AJO46" s="87"/>
      <c r="AJP46" s="87"/>
      <c r="AJQ46" s="87"/>
      <c r="AJR46" s="87"/>
      <c r="AJS46" s="87"/>
      <c r="AJT46" s="87"/>
      <c r="AJU46" s="87"/>
      <c r="AJV46" s="87"/>
      <c r="AJW46" s="87"/>
      <c r="AJX46" s="87"/>
      <c r="AJY46" s="87"/>
      <c r="AJZ46" s="87"/>
      <c r="AKA46" s="87"/>
      <c r="AKB46" s="87"/>
      <c r="AKC46" s="87"/>
      <c r="AKD46" s="87"/>
      <c r="AKE46" s="87"/>
      <c r="AKF46" s="87"/>
      <c r="AKG46" s="87"/>
      <c r="AKH46" s="87"/>
      <c r="AKI46" s="87"/>
      <c r="AKJ46" s="87"/>
      <c r="AKK46" s="87"/>
      <c r="AKL46" s="87"/>
      <c r="AKM46" s="87"/>
      <c r="AKN46" s="87"/>
      <c r="AKO46" s="87"/>
      <c r="AKP46" s="87"/>
      <c r="AKQ46" s="87"/>
      <c r="AKR46" s="87"/>
      <c r="AKS46" s="87"/>
      <c r="AKT46" s="87"/>
      <c r="AKU46" s="87"/>
      <c r="AKV46" s="87"/>
      <c r="AKW46" s="87"/>
      <c r="AKX46" s="87"/>
      <c r="AKY46" s="87"/>
      <c r="AKZ46" s="87"/>
      <c r="ALA46" s="87"/>
    </row>
    <row r="47" spans="1:989" ht="30.2" customHeight="1" x14ac:dyDescent="0.25">
      <c r="A47" s="206">
        <v>4</v>
      </c>
      <c r="B47" s="206"/>
      <c r="C47" s="99" t="s">
        <v>333</v>
      </c>
      <c r="D47" s="90" t="s">
        <v>4</v>
      </c>
      <c r="E47" s="150" t="s">
        <v>2</v>
      </c>
      <c r="F47" s="150">
        <v>93203</v>
      </c>
      <c r="G47" s="100">
        <f>G51</f>
        <v>80.36</v>
      </c>
    </row>
    <row r="48" spans="1:989" ht="25.15" customHeight="1" x14ac:dyDescent="0.25">
      <c r="A48" s="92" t="s">
        <v>16</v>
      </c>
      <c r="B48" s="92" t="s">
        <v>0</v>
      </c>
      <c r="C48" s="92" t="s">
        <v>88</v>
      </c>
      <c r="D48" s="92" t="s">
        <v>5</v>
      </c>
      <c r="E48" s="92" t="s">
        <v>89</v>
      </c>
      <c r="F48" s="92" t="s">
        <v>90</v>
      </c>
      <c r="G48" s="93" t="s">
        <v>91</v>
      </c>
    </row>
    <row r="49" spans="1:7" ht="25.15" customHeight="1" x14ac:dyDescent="0.25">
      <c r="A49" s="89" t="s">
        <v>2</v>
      </c>
      <c r="B49" s="89">
        <v>88309</v>
      </c>
      <c r="C49" s="101" t="s">
        <v>92</v>
      </c>
      <c r="D49" s="94" t="s">
        <v>93</v>
      </c>
      <c r="E49" s="105">
        <f>0.088*5</f>
        <v>0.43999999999999995</v>
      </c>
      <c r="F49" s="96">
        <v>29.24</v>
      </c>
      <c r="G49" s="104">
        <f>ROUND(E49*F49,2)</f>
        <v>12.87</v>
      </c>
    </row>
    <row r="50" spans="1:7" ht="25.15" customHeight="1" x14ac:dyDescent="0.25">
      <c r="A50" s="89" t="s">
        <v>147</v>
      </c>
      <c r="B50" s="89">
        <v>38124</v>
      </c>
      <c r="C50" s="101" t="s">
        <v>332</v>
      </c>
      <c r="D50" s="94" t="s">
        <v>175</v>
      </c>
      <c r="E50" s="105">
        <f>0.412*5</f>
        <v>2.06</v>
      </c>
      <c r="F50" s="96">
        <v>32.76</v>
      </c>
      <c r="G50" s="104">
        <f>ROUND(E50*F50,2)</f>
        <v>67.489999999999995</v>
      </c>
    </row>
    <row r="51" spans="1:7" ht="25.15" customHeight="1" x14ac:dyDescent="0.25">
      <c r="A51" s="207" t="s">
        <v>95</v>
      </c>
      <c r="B51" s="208"/>
      <c r="C51" s="208"/>
      <c r="D51" s="208"/>
      <c r="E51" s="208"/>
      <c r="F51" s="209"/>
      <c r="G51" s="98">
        <f>ROUND(SUM(G49:G50),2)</f>
        <v>80.36</v>
      </c>
    </row>
    <row r="52" spans="1:7" ht="25.15" customHeight="1" x14ac:dyDescent="0.25">
      <c r="A52" s="5"/>
      <c r="B52" s="5"/>
      <c r="D52" s="5"/>
      <c r="E52" s="5"/>
      <c r="F52" s="5"/>
      <c r="G52" s="84"/>
    </row>
    <row r="53" spans="1:7" ht="25.15" customHeight="1" x14ac:dyDescent="0.25">
      <c r="A53" s="212" t="s">
        <v>0</v>
      </c>
      <c r="B53" s="212"/>
      <c r="C53" s="85" t="s">
        <v>86</v>
      </c>
      <c r="D53" s="85" t="s">
        <v>5</v>
      </c>
      <c r="E53" s="212" t="s">
        <v>16</v>
      </c>
      <c r="F53" s="212"/>
      <c r="G53" s="86" t="s">
        <v>87</v>
      </c>
    </row>
    <row r="54" spans="1:7" ht="33" customHeight="1" x14ac:dyDescent="0.25">
      <c r="A54" s="206">
        <v>5</v>
      </c>
      <c r="B54" s="206"/>
      <c r="C54" s="99" t="s">
        <v>400</v>
      </c>
      <c r="D54" s="90" t="s">
        <v>175</v>
      </c>
      <c r="E54" s="210" t="s">
        <v>133</v>
      </c>
      <c r="F54" s="211"/>
      <c r="G54" s="100">
        <f>G63</f>
        <v>1401.76</v>
      </c>
    </row>
    <row r="55" spans="1:7" ht="25.15" customHeight="1" x14ac:dyDescent="0.25">
      <c r="A55" s="92" t="s">
        <v>16</v>
      </c>
      <c r="B55" s="92" t="s">
        <v>0</v>
      </c>
      <c r="C55" s="92" t="s">
        <v>88</v>
      </c>
      <c r="D55" s="92" t="s">
        <v>5</v>
      </c>
      <c r="E55" s="92" t="s">
        <v>89</v>
      </c>
      <c r="F55" s="92" t="s">
        <v>90</v>
      </c>
      <c r="G55" s="93" t="s">
        <v>91</v>
      </c>
    </row>
    <row r="56" spans="1:7" ht="36.6" customHeight="1" x14ac:dyDescent="0.25">
      <c r="A56" s="89" t="s">
        <v>148</v>
      </c>
      <c r="B56" s="89" t="s">
        <v>402</v>
      </c>
      <c r="C56" s="101" t="s">
        <v>403</v>
      </c>
      <c r="D56" s="90" t="s">
        <v>155</v>
      </c>
      <c r="E56" s="105">
        <f>(1*1*1)+(0.8*0.8*0.2)</f>
        <v>1.1280000000000001</v>
      </c>
      <c r="F56" s="96">
        <v>44.1</v>
      </c>
      <c r="G56" s="104">
        <f t="shared" ref="G56:G62" si="3">E56*F56</f>
        <v>49.744800000000005</v>
      </c>
    </row>
    <row r="57" spans="1:7" ht="31.9" customHeight="1" x14ac:dyDescent="0.25">
      <c r="A57" s="89" t="s">
        <v>147</v>
      </c>
      <c r="B57" s="89">
        <v>43432</v>
      </c>
      <c r="C57" s="101" t="s">
        <v>401</v>
      </c>
      <c r="D57" s="94" t="s">
        <v>175</v>
      </c>
      <c r="E57" s="105">
        <v>2</v>
      </c>
      <c r="F57" s="96">
        <v>607.08000000000004</v>
      </c>
      <c r="G57" s="104">
        <f t="shared" si="3"/>
        <v>1214.1600000000001</v>
      </c>
    </row>
    <row r="58" spans="1:7" ht="25.15" customHeight="1" x14ac:dyDescent="0.25">
      <c r="A58" s="89" t="s">
        <v>2</v>
      </c>
      <c r="B58" s="89">
        <v>88309</v>
      </c>
      <c r="C58" s="101" t="s">
        <v>92</v>
      </c>
      <c r="D58" s="90" t="s">
        <v>93</v>
      </c>
      <c r="E58" s="105">
        <f>0.1582*1.3</f>
        <v>0.20566000000000001</v>
      </c>
      <c r="F58" s="96">
        <v>29.24</v>
      </c>
      <c r="G58" s="104">
        <f t="shared" si="3"/>
        <v>6.0134983999999996</v>
      </c>
    </row>
    <row r="59" spans="1:7" ht="25.15" customHeight="1" x14ac:dyDescent="0.25">
      <c r="A59" s="89" t="s">
        <v>2</v>
      </c>
      <c r="B59" s="89">
        <v>88316</v>
      </c>
      <c r="C59" s="101" t="s">
        <v>94</v>
      </c>
      <c r="D59" s="90" t="s">
        <v>93</v>
      </c>
      <c r="E59" s="105">
        <f>0.1582*1.3</f>
        <v>0.20566000000000001</v>
      </c>
      <c r="F59" s="96">
        <v>25.43</v>
      </c>
      <c r="G59" s="104">
        <f t="shared" si="3"/>
        <v>5.2299338000000004</v>
      </c>
    </row>
    <row r="60" spans="1:7" ht="31.15" customHeight="1" x14ac:dyDescent="0.25">
      <c r="A60" s="89" t="s">
        <v>2</v>
      </c>
      <c r="B60" s="89">
        <v>97735</v>
      </c>
      <c r="C60" s="101" t="s">
        <v>398</v>
      </c>
      <c r="D60" s="90" t="s">
        <v>155</v>
      </c>
      <c r="E60" s="105">
        <f>0.05*0.9*0.9</f>
        <v>4.0500000000000008E-2</v>
      </c>
      <c r="F60" s="96">
        <v>2422.63</v>
      </c>
      <c r="G60" s="104">
        <f t="shared" si="3"/>
        <v>98.116515000000021</v>
      </c>
    </row>
    <row r="61" spans="1:7" ht="32.450000000000003" customHeight="1" x14ac:dyDescent="0.25">
      <c r="A61" s="89" t="s">
        <v>2</v>
      </c>
      <c r="B61" s="89">
        <v>101623</v>
      </c>
      <c r="C61" s="101" t="s">
        <v>399</v>
      </c>
      <c r="D61" s="90" t="s">
        <v>155</v>
      </c>
      <c r="E61" s="105">
        <f>0.2*0.8*0.8</f>
        <v>0.12800000000000003</v>
      </c>
      <c r="F61" s="96">
        <v>214.41</v>
      </c>
      <c r="G61" s="104">
        <f t="shared" si="3"/>
        <v>27.444480000000006</v>
      </c>
    </row>
    <row r="62" spans="1:7" ht="32.450000000000003" customHeight="1" x14ac:dyDescent="0.25">
      <c r="A62" s="89" t="s">
        <v>148</v>
      </c>
      <c r="B62" s="89" t="s">
        <v>157</v>
      </c>
      <c r="C62" s="101" t="s">
        <v>158</v>
      </c>
      <c r="D62" s="90" t="s">
        <v>155</v>
      </c>
      <c r="E62" s="105">
        <f>0.1*1*(1*0.8*1*0.8)</f>
        <v>6.4000000000000015E-2</v>
      </c>
      <c r="F62" s="96">
        <v>16.46</v>
      </c>
      <c r="G62" s="104">
        <f t="shared" si="3"/>
        <v>1.0534400000000004</v>
      </c>
    </row>
    <row r="63" spans="1:7" ht="25.15" customHeight="1" x14ac:dyDescent="0.25">
      <c r="A63" s="207" t="s">
        <v>95</v>
      </c>
      <c r="B63" s="208"/>
      <c r="C63" s="208"/>
      <c r="D63" s="208"/>
      <c r="E63" s="208"/>
      <c r="F63" s="209"/>
      <c r="G63" s="98">
        <f>ROUND(SUM(G56:G62),2)</f>
        <v>1401.76</v>
      </c>
    </row>
    <row r="64" spans="1:7" ht="25.15" customHeight="1" x14ac:dyDescent="0.25">
      <c r="A64" s="5"/>
      <c r="B64" s="5"/>
      <c r="D64" s="5"/>
      <c r="E64" s="5"/>
      <c r="F64" s="5"/>
      <c r="G64" s="84"/>
    </row>
    <row r="65" spans="1:7" ht="25.15" customHeight="1" x14ac:dyDescent="0.25">
      <c r="A65" s="212" t="s">
        <v>0</v>
      </c>
      <c r="B65" s="212"/>
      <c r="C65" s="85" t="s">
        <v>86</v>
      </c>
      <c r="D65" s="85" t="s">
        <v>5</v>
      </c>
      <c r="E65" s="212" t="s">
        <v>16</v>
      </c>
      <c r="F65" s="212"/>
      <c r="G65" s="86" t="s">
        <v>87</v>
      </c>
    </row>
    <row r="66" spans="1:7" ht="25.15" customHeight="1" x14ac:dyDescent="0.25">
      <c r="A66" s="206">
        <v>6</v>
      </c>
      <c r="B66" s="206"/>
      <c r="C66" s="99" t="s">
        <v>396</v>
      </c>
      <c r="D66" s="90" t="s">
        <v>175</v>
      </c>
      <c r="E66" s="210" t="s">
        <v>133</v>
      </c>
      <c r="F66" s="211"/>
      <c r="G66" s="100">
        <f>G71</f>
        <v>92.72</v>
      </c>
    </row>
    <row r="67" spans="1:7" ht="25.15" customHeight="1" x14ac:dyDescent="0.25">
      <c r="A67" s="92" t="s">
        <v>16</v>
      </c>
      <c r="B67" s="92" t="s">
        <v>0</v>
      </c>
      <c r="C67" s="92" t="s">
        <v>88</v>
      </c>
      <c r="D67" s="92" t="s">
        <v>5</v>
      </c>
      <c r="E67" s="92" t="s">
        <v>89</v>
      </c>
      <c r="F67" s="92" t="s">
        <v>90</v>
      </c>
      <c r="G67" s="93" t="s">
        <v>91</v>
      </c>
    </row>
    <row r="68" spans="1:7" ht="25.15" customHeight="1" x14ac:dyDescent="0.25">
      <c r="A68" s="89" t="s">
        <v>195</v>
      </c>
      <c r="B68" s="89" t="s">
        <v>393</v>
      </c>
      <c r="C68" s="101" t="s">
        <v>396</v>
      </c>
      <c r="D68" s="94" t="s">
        <v>5</v>
      </c>
      <c r="E68" s="105">
        <v>1</v>
      </c>
      <c r="F68" s="96">
        <v>70.56</v>
      </c>
      <c r="G68" s="104">
        <f>ROUND(E68*F68,2)</f>
        <v>70.56</v>
      </c>
    </row>
    <row r="69" spans="1:7" ht="25.15" customHeight="1" x14ac:dyDescent="0.25">
      <c r="A69" s="89" t="s">
        <v>2</v>
      </c>
      <c r="B69" s="89">
        <v>88264</v>
      </c>
      <c r="C69" s="101" t="s">
        <v>391</v>
      </c>
      <c r="D69" s="94" t="s">
        <v>93</v>
      </c>
      <c r="E69" s="105">
        <v>0.3</v>
      </c>
      <c r="F69" s="96">
        <v>36.78</v>
      </c>
      <c r="G69" s="104">
        <f t="shared" ref="G69:G70" si="4">ROUND(E69*F69,2)</f>
        <v>11.03</v>
      </c>
    </row>
    <row r="70" spans="1:7" ht="25.15" customHeight="1" x14ac:dyDescent="0.25">
      <c r="A70" s="89" t="s">
        <v>2</v>
      </c>
      <c r="B70" s="89">
        <v>88247</v>
      </c>
      <c r="C70" s="101" t="s">
        <v>392</v>
      </c>
      <c r="D70" s="94" t="s">
        <v>93</v>
      </c>
      <c r="E70" s="105">
        <v>0.4</v>
      </c>
      <c r="F70" s="96">
        <v>27.82</v>
      </c>
      <c r="G70" s="104">
        <f t="shared" si="4"/>
        <v>11.13</v>
      </c>
    </row>
    <row r="71" spans="1:7" ht="25.15" customHeight="1" x14ac:dyDescent="0.25">
      <c r="A71" s="207" t="s">
        <v>95</v>
      </c>
      <c r="B71" s="208"/>
      <c r="C71" s="208"/>
      <c r="D71" s="208"/>
      <c r="E71" s="208"/>
      <c r="F71" s="209"/>
      <c r="G71" s="98">
        <f>ROUND(SUM(G68:G70),2)</f>
        <v>92.72</v>
      </c>
    </row>
    <row r="72" spans="1:7" ht="25.15" customHeight="1" x14ac:dyDescent="0.25">
      <c r="A72" s="5"/>
      <c r="B72" s="5"/>
      <c r="D72" s="5"/>
      <c r="E72" s="5"/>
      <c r="F72" s="5"/>
      <c r="G72" s="84"/>
    </row>
    <row r="73" spans="1:7" ht="25.15" customHeight="1" x14ac:dyDescent="0.25">
      <c r="A73" s="212" t="s">
        <v>0</v>
      </c>
      <c r="B73" s="212"/>
      <c r="C73" s="85" t="s">
        <v>86</v>
      </c>
      <c r="D73" s="85" t="s">
        <v>5</v>
      </c>
      <c r="E73" s="212" t="s">
        <v>16</v>
      </c>
      <c r="F73" s="212"/>
      <c r="G73" s="86" t="s">
        <v>87</v>
      </c>
    </row>
    <row r="74" spans="1:7" ht="25.15" customHeight="1" x14ac:dyDescent="0.25">
      <c r="A74" s="206">
        <v>7</v>
      </c>
      <c r="B74" s="206"/>
      <c r="C74" s="99" t="s">
        <v>397</v>
      </c>
      <c r="D74" s="90" t="s">
        <v>175</v>
      </c>
      <c r="E74" s="210" t="s">
        <v>133</v>
      </c>
      <c r="F74" s="211"/>
      <c r="G74" s="100">
        <f>G79</f>
        <v>135.07</v>
      </c>
    </row>
    <row r="75" spans="1:7" ht="25.15" customHeight="1" x14ac:dyDescent="0.25">
      <c r="A75" s="92" t="s">
        <v>16</v>
      </c>
      <c r="B75" s="92" t="s">
        <v>0</v>
      </c>
      <c r="C75" s="92" t="s">
        <v>88</v>
      </c>
      <c r="D75" s="92" t="s">
        <v>5</v>
      </c>
      <c r="E75" s="92" t="s">
        <v>89</v>
      </c>
      <c r="F75" s="92" t="s">
        <v>90</v>
      </c>
      <c r="G75" s="93" t="s">
        <v>91</v>
      </c>
    </row>
    <row r="76" spans="1:7" ht="25.15" customHeight="1" x14ac:dyDescent="0.25">
      <c r="A76" s="89" t="s">
        <v>195</v>
      </c>
      <c r="B76" s="89" t="s">
        <v>393</v>
      </c>
      <c r="C76" s="101" t="s">
        <v>397</v>
      </c>
      <c r="D76" s="94" t="s">
        <v>5</v>
      </c>
      <c r="E76" s="105">
        <v>1</v>
      </c>
      <c r="F76" s="96">
        <v>108.29</v>
      </c>
      <c r="G76" s="104">
        <f t="shared" ref="G76:G78" si="5">ROUND(E76*F76,2)</f>
        <v>108.29</v>
      </c>
    </row>
    <row r="77" spans="1:7" ht="25.15" customHeight="1" x14ac:dyDescent="0.25">
      <c r="A77" s="89" t="s">
        <v>2</v>
      </c>
      <c r="B77" s="89">
        <v>88264</v>
      </c>
      <c r="C77" s="101" t="s">
        <v>391</v>
      </c>
      <c r="D77" s="94" t="s">
        <v>93</v>
      </c>
      <c r="E77" s="105">
        <v>0.35</v>
      </c>
      <c r="F77" s="96">
        <v>36.78</v>
      </c>
      <c r="G77" s="104">
        <f t="shared" si="5"/>
        <v>12.87</v>
      </c>
    </row>
    <row r="78" spans="1:7" ht="25.15" customHeight="1" x14ac:dyDescent="0.25">
      <c r="A78" s="89" t="s">
        <v>2</v>
      </c>
      <c r="B78" s="89">
        <v>88247</v>
      </c>
      <c r="C78" s="101" t="s">
        <v>392</v>
      </c>
      <c r="D78" s="94" t="s">
        <v>93</v>
      </c>
      <c r="E78" s="105">
        <v>0.5</v>
      </c>
      <c r="F78" s="96">
        <v>27.82</v>
      </c>
      <c r="G78" s="104">
        <f t="shared" si="5"/>
        <v>13.91</v>
      </c>
    </row>
    <row r="79" spans="1:7" ht="25.15" customHeight="1" x14ac:dyDescent="0.25">
      <c r="A79" s="207" t="s">
        <v>95</v>
      </c>
      <c r="B79" s="208"/>
      <c r="C79" s="208"/>
      <c r="D79" s="208"/>
      <c r="E79" s="208"/>
      <c r="F79" s="209"/>
      <c r="G79" s="98">
        <f>ROUND(SUM(G76:G78),2)</f>
        <v>135.07</v>
      </c>
    </row>
    <row r="80" spans="1:7" ht="25.15" customHeight="1" x14ac:dyDescent="0.25">
      <c r="A80" s="5"/>
      <c r="B80" s="5"/>
      <c r="D80" s="5"/>
      <c r="E80" s="5"/>
      <c r="F80" s="5"/>
      <c r="G80" s="84"/>
    </row>
    <row r="81" spans="1:989" s="88" customFormat="1" ht="18" customHeight="1" x14ac:dyDescent="0.2">
      <c r="A81" s="218" t="s">
        <v>469</v>
      </c>
      <c r="B81" s="218"/>
      <c r="C81" s="218"/>
      <c r="D81" s="218"/>
      <c r="E81" s="218"/>
      <c r="F81" s="218"/>
      <c r="G81" s="218"/>
      <c r="H81" s="106"/>
      <c r="I81" s="106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87"/>
      <c r="ER81" s="87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87"/>
      <c r="FG81" s="87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87"/>
      <c r="FV81" s="87"/>
      <c r="FW81" s="87"/>
      <c r="FX81" s="87"/>
      <c r="FY81" s="87"/>
      <c r="FZ81" s="87"/>
      <c r="GA81" s="87"/>
      <c r="GB81" s="87"/>
      <c r="GC81" s="87"/>
      <c r="GD81" s="87"/>
      <c r="GE81" s="87"/>
      <c r="GF81" s="87"/>
      <c r="GG81" s="87"/>
      <c r="GH81" s="87"/>
      <c r="GI81" s="87"/>
      <c r="GJ81" s="87"/>
      <c r="GK81" s="87"/>
      <c r="GL81" s="87"/>
      <c r="GM81" s="87"/>
      <c r="GN81" s="87"/>
      <c r="GO81" s="87"/>
      <c r="GP81" s="87"/>
      <c r="GQ81" s="87"/>
      <c r="GR81" s="87"/>
      <c r="GS81" s="87"/>
      <c r="GT81" s="87"/>
      <c r="GU81" s="87"/>
      <c r="GV81" s="87"/>
      <c r="GW81" s="87"/>
      <c r="GX81" s="87"/>
      <c r="GY81" s="87"/>
      <c r="GZ81" s="87"/>
      <c r="HA81" s="87"/>
      <c r="HB81" s="87"/>
      <c r="HC81" s="87"/>
      <c r="HD81" s="87"/>
      <c r="HE81" s="87"/>
      <c r="HF81" s="87"/>
      <c r="HG81" s="87"/>
      <c r="HH81" s="87"/>
      <c r="HI81" s="87"/>
      <c r="HJ81" s="87"/>
      <c r="HK81" s="87"/>
      <c r="HL81" s="87"/>
      <c r="HM81" s="87"/>
      <c r="HN81" s="87"/>
      <c r="HO81" s="87"/>
      <c r="HP81" s="87"/>
      <c r="HQ81" s="87"/>
      <c r="HR81" s="87"/>
      <c r="HS81" s="87"/>
      <c r="HT81" s="87"/>
      <c r="HU81" s="87"/>
      <c r="HV81" s="87"/>
      <c r="HW81" s="87"/>
      <c r="HX81" s="87"/>
      <c r="HY81" s="87"/>
      <c r="HZ81" s="87"/>
      <c r="IA81" s="87"/>
      <c r="IB81" s="87"/>
      <c r="IC81" s="87"/>
      <c r="ID81" s="87"/>
      <c r="IE81" s="87"/>
      <c r="IF81" s="87"/>
      <c r="IG81" s="87"/>
      <c r="IH81" s="87"/>
      <c r="II81" s="87"/>
      <c r="IJ81" s="87"/>
      <c r="IK81" s="87"/>
      <c r="IL81" s="87"/>
      <c r="IM81" s="87"/>
      <c r="IN81" s="87"/>
      <c r="IO81" s="87"/>
      <c r="IP81" s="87"/>
      <c r="IQ81" s="87"/>
      <c r="IR81" s="87"/>
      <c r="IS81" s="87"/>
      <c r="IT81" s="87"/>
      <c r="IU81" s="87"/>
      <c r="IV81" s="87"/>
      <c r="IW81" s="87"/>
      <c r="IX81" s="87"/>
      <c r="IY81" s="87"/>
      <c r="IZ81" s="87"/>
      <c r="JA81" s="87"/>
      <c r="JB81" s="87"/>
      <c r="JC81" s="87"/>
      <c r="JD81" s="87"/>
      <c r="JE81" s="87"/>
      <c r="JF81" s="87"/>
      <c r="JG81" s="87"/>
      <c r="JH81" s="87"/>
      <c r="JI81" s="87"/>
      <c r="JJ81" s="87"/>
      <c r="JK81" s="87"/>
      <c r="JL81" s="87"/>
      <c r="JM81" s="87"/>
      <c r="JN81" s="87"/>
      <c r="JO81" s="87"/>
      <c r="JP81" s="87"/>
      <c r="JQ81" s="87"/>
      <c r="JR81" s="87"/>
      <c r="JS81" s="87"/>
      <c r="JT81" s="87"/>
      <c r="JU81" s="87"/>
      <c r="JV81" s="87"/>
      <c r="JW81" s="87"/>
      <c r="JX81" s="87"/>
      <c r="JY81" s="87"/>
      <c r="JZ81" s="87"/>
      <c r="KA81" s="87"/>
      <c r="KB81" s="87"/>
      <c r="KC81" s="87"/>
      <c r="KD81" s="87"/>
      <c r="KE81" s="87"/>
      <c r="KF81" s="87"/>
      <c r="KG81" s="87"/>
      <c r="KH81" s="87"/>
      <c r="KI81" s="87"/>
      <c r="KJ81" s="87"/>
      <c r="KK81" s="87"/>
      <c r="KL81" s="87"/>
      <c r="KM81" s="87"/>
      <c r="KN81" s="87"/>
      <c r="KO81" s="87"/>
      <c r="KP81" s="87"/>
      <c r="KQ81" s="87"/>
      <c r="KR81" s="87"/>
      <c r="KS81" s="87"/>
      <c r="KT81" s="87"/>
      <c r="KU81" s="87"/>
      <c r="KV81" s="87"/>
      <c r="KW81" s="87"/>
      <c r="KX81" s="87"/>
      <c r="KY81" s="87"/>
      <c r="KZ81" s="87"/>
      <c r="LA81" s="87"/>
      <c r="LB81" s="87"/>
      <c r="LC81" s="87"/>
      <c r="LD81" s="87"/>
      <c r="LE81" s="87"/>
      <c r="LF81" s="87"/>
      <c r="LG81" s="87"/>
      <c r="LH81" s="87"/>
      <c r="LI81" s="87"/>
      <c r="LJ81" s="87"/>
      <c r="LK81" s="87"/>
      <c r="LL81" s="87"/>
      <c r="LM81" s="87"/>
      <c r="LN81" s="87"/>
      <c r="LO81" s="87"/>
      <c r="LP81" s="87"/>
      <c r="LQ81" s="87"/>
      <c r="LR81" s="87"/>
      <c r="LS81" s="87"/>
      <c r="LT81" s="87"/>
      <c r="LU81" s="87"/>
      <c r="LV81" s="87"/>
      <c r="LW81" s="87"/>
      <c r="LX81" s="87"/>
      <c r="LY81" s="87"/>
      <c r="LZ81" s="87"/>
      <c r="MA81" s="87"/>
      <c r="MB81" s="87"/>
      <c r="MC81" s="87"/>
      <c r="MD81" s="87"/>
      <c r="ME81" s="87"/>
      <c r="MF81" s="87"/>
      <c r="MG81" s="87"/>
      <c r="MH81" s="87"/>
      <c r="MI81" s="87"/>
      <c r="MJ81" s="87"/>
      <c r="MK81" s="87"/>
      <c r="ML81" s="87"/>
      <c r="MM81" s="87"/>
      <c r="MN81" s="87"/>
      <c r="MO81" s="87"/>
      <c r="MP81" s="87"/>
      <c r="MQ81" s="87"/>
      <c r="MR81" s="87"/>
      <c r="MS81" s="87"/>
      <c r="MT81" s="87"/>
      <c r="MU81" s="87"/>
      <c r="MV81" s="87"/>
      <c r="MW81" s="87"/>
      <c r="MX81" s="87"/>
      <c r="MY81" s="87"/>
      <c r="MZ81" s="87"/>
      <c r="NA81" s="87"/>
      <c r="NB81" s="87"/>
      <c r="NC81" s="87"/>
      <c r="ND81" s="87"/>
      <c r="NE81" s="87"/>
      <c r="NF81" s="87"/>
      <c r="NG81" s="87"/>
      <c r="NH81" s="87"/>
      <c r="NI81" s="87"/>
      <c r="NJ81" s="87"/>
      <c r="NK81" s="87"/>
      <c r="NL81" s="87"/>
      <c r="NM81" s="87"/>
      <c r="NN81" s="87"/>
      <c r="NO81" s="87"/>
      <c r="NP81" s="87"/>
      <c r="NQ81" s="87"/>
      <c r="NR81" s="87"/>
      <c r="NS81" s="87"/>
      <c r="NT81" s="87"/>
      <c r="NU81" s="87"/>
      <c r="NV81" s="87"/>
      <c r="NW81" s="87"/>
      <c r="NX81" s="87"/>
      <c r="NY81" s="87"/>
      <c r="NZ81" s="87"/>
      <c r="OA81" s="87"/>
      <c r="OB81" s="87"/>
      <c r="OC81" s="87"/>
      <c r="OD81" s="87"/>
      <c r="OE81" s="87"/>
      <c r="OF81" s="87"/>
      <c r="OG81" s="87"/>
      <c r="OH81" s="87"/>
      <c r="OI81" s="87"/>
      <c r="OJ81" s="87"/>
      <c r="OK81" s="87"/>
      <c r="OL81" s="87"/>
      <c r="OM81" s="87"/>
      <c r="ON81" s="87"/>
      <c r="OO81" s="87"/>
      <c r="OP81" s="87"/>
      <c r="OQ81" s="87"/>
      <c r="OR81" s="87"/>
      <c r="OS81" s="87"/>
      <c r="OT81" s="87"/>
      <c r="OU81" s="87"/>
      <c r="OV81" s="87"/>
      <c r="OW81" s="87"/>
      <c r="OX81" s="87"/>
      <c r="OY81" s="87"/>
      <c r="OZ81" s="87"/>
      <c r="PA81" s="87"/>
      <c r="PB81" s="87"/>
      <c r="PC81" s="87"/>
      <c r="PD81" s="87"/>
      <c r="PE81" s="87"/>
      <c r="PF81" s="87"/>
      <c r="PG81" s="87"/>
      <c r="PH81" s="87"/>
      <c r="PI81" s="87"/>
      <c r="PJ81" s="87"/>
      <c r="PK81" s="87"/>
      <c r="PL81" s="87"/>
      <c r="PM81" s="87"/>
      <c r="PN81" s="87"/>
      <c r="PO81" s="87"/>
      <c r="PP81" s="87"/>
      <c r="PQ81" s="87"/>
      <c r="PR81" s="87"/>
      <c r="PS81" s="87"/>
      <c r="PT81" s="87"/>
      <c r="PU81" s="87"/>
      <c r="PV81" s="87"/>
      <c r="PW81" s="87"/>
      <c r="PX81" s="87"/>
      <c r="PY81" s="87"/>
      <c r="PZ81" s="87"/>
      <c r="QA81" s="87"/>
      <c r="QB81" s="87"/>
      <c r="QC81" s="87"/>
      <c r="QD81" s="87"/>
      <c r="QE81" s="87"/>
      <c r="QF81" s="87"/>
      <c r="QG81" s="87"/>
      <c r="QH81" s="87"/>
      <c r="QI81" s="87"/>
      <c r="QJ81" s="87"/>
      <c r="QK81" s="87"/>
      <c r="QL81" s="87"/>
      <c r="QM81" s="87"/>
      <c r="QN81" s="87"/>
      <c r="QO81" s="87"/>
      <c r="QP81" s="87"/>
      <c r="QQ81" s="87"/>
      <c r="QR81" s="87"/>
      <c r="QS81" s="87"/>
      <c r="QT81" s="87"/>
      <c r="QU81" s="87"/>
      <c r="QV81" s="87"/>
      <c r="QW81" s="87"/>
      <c r="QX81" s="87"/>
      <c r="QY81" s="87"/>
      <c r="QZ81" s="87"/>
      <c r="RA81" s="87"/>
      <c r="RB81" s="87"/>
      <c r="RC81" s="87"/>
      <c r="RD81" s="87"/>
      <c r="RE81" s="87"/>
      <c r="RF81" s="87"/>
      <c r="RG81" s="87"/>
      <c r="RH81" s="87"/>
      <c r="RI81" s="87"/>
      <c r="RJ81" s="87"/>
      <c r="RK81" s="87"/>
      <c r="RL81" s="87"/>
      <c r="RM81" s="87"/>
      <c r="RN81" s="87"/>
      <c r="RO81" s="87"/>
      <c r="RP81" s="87"/>
      <c r="RQ81" s="87"/>
      <c r="RR81" s="87"/>
      <c r="RS81" s="87"/>
      <c r="RT81" s="87"/>
      <c r="RU81" s="87"/>
      <c r="RV81" s="87"/>
      <c r="RW81" s="87"/>
      <c r="RX81" s="87"/>
      <c r="RY81" s="87"/>
      <c r="RZ81" s="87"/>
      <c r="SA81" s="87"/>
      <c r="SB81" s="87"/>
      <c r="SC81" s="87"/>
      <c r="SD81" s="87"/>
      <c r="SE81" s="87"/>
      <c r="SF81" s="87"/>
      <c r="SG81" s="87"/>
      <c r="SH81" s="87"/>
      <c r="SI81" s="87"/>
      <c r="SJ81" s="87"/>
      <c r="SK81" s="87"/>
      <c r="SL81" s="87"/>
      <c r="SM81" s="87"/>
      <c r="SN81" s="87"/>
      <c r="SO81" s="87"/>
      <c r="SP81" s="87"/>
      <c r="SQ81" s="87"/>
      <c r="SR81" s="87"/>
      <c r="SS81" s="87"/>
      <c r="ST81" s="87"/>
      <c r="SU81" s="87"/>
      <c r="SV81" s="87"/>
      <c r="SW81" s="87"/>
      <c r="SX81" s="87"/>
      <c r="SY81" s="87"/>
      <c r="SZ81" s="87"/>
      <c r="TA81" s="87"/>
      <c r="TB81" s="87"/>
      <c r="TC81" s="87"/>
      <c r="TD81" s="87"/>
      <c r="TE81" s="87"/>
      <c r="TF81" s="87"/>
      <c r="TG81" s="87"/>
      <c r="TH81" s="87"/>
      <c r="TI81" s="87"/>
      <c r="TJ81" s="87"/>
      <c r="TK81" s="87"/>
      <c r="TL81" s="87"/>
      <c r="TM81" s="87"/>
      <c r="TN81" s="87"/>
      <c r="TO81" s="87"/>
      <c r="TP81" s="87"/>
      <c r="TQ81" s="87"/>
      <c r="TR81" s="87"/>
      <c r="TS81" s="87"/>
      <c r="TT81" s="87"/>
      <c r="TU81" s="87"/>
      <c r="TV81" s="87"/>
      <c r="TW81" s="87"/>
      <c r="TX81" s="87"/>
      <c r="TY81" s="87"/>
      <c r="TZ81" s="87"/>
      <c r="UA81" s="87"/>
      <c r="UB81" s="87"/>
      <c r="UC81" s="87"/>
      <c r="UD81" s="87"/>
      <c r="UE81" s="87"/>
      <c r="UF81" s="87"/>
      <c r="UG81" s="87"/>
      <c r="UH81" s="87"/>
      <c r="UI81" s="87"/>
      <c r="UJ81" s="87"/>
      <c r="UK81" s="87"/>
      <c r="UL81" s="87"/>
      <c r="UM81" s="87"/>
      <c r="UN81" s="87"/>
      <c r="UO81" s="87"/>
      <c r="UP81" s="87"/>
      <c r="UQ81" s="87"/>
      <c r="UR81" s="87"/>
      <c r="US81" s="87"/>
      <c r="UT81" s="87"/>
      <c r="UU81" s="87"/>
      <c r="UV81" s="87"/>
      <c r="UW81" s="87"/>
      <c r="UX81" s="87"/>
      <c r="UY81" s="87"/>
      <c r="UZ81" s="87"/>
      <c r="VA81" s="87"/>
      <c r="VB81" s="87"/>
      <c r="VC81" s="87"/>
      <c r="VD81" s="87"/>
      <c r="VE81" s="87"/>
      <c r="VF81" s="87"/>
      <c r="VG81" s="87"/>
      <c r="VH81" s="87"/>
      <c r="VI81" s="87"/>
      <c r="VJ81" s="87"/>
      <c r="VK81" s="87"/>
      <c r="VL81" s="87"/>
      <c r="VM81" s="87"/>
      <c r="VN81" s="87"/>
      <c r="VO81" s="87"/>
      <c r="VP81" s="87"/>
      <c r="VQ81" s="87"/>
      <c r="VR81" s="87"/>
      <c r="VS81" s="87"/>
      <c r="VT81" s="87"/>
      <c r="VU81" s="87"/>
      <c r="VV81" s="87"/>
      <c r="VW81" s="87"/>
      <c r="VX81" s="87"/>
      <c r="VY81" s="87"/>
      <c r="VZ81" s="87"/>
      <c r="WA81" s="87"/>
      <c r="WB81" s="87"/>
      <c r="WC81" s="87"/>
      <c r="WD81" s="87"/>
      <c r="WE81" s="87"/>
      <c r="WF81" s="87"/>
      <c r="WG81" s="87"/>
      <c r="WH81" s="87"/>
      <c r="WI81" s="87"/>
      <c r="WJ81" s="87"/>
      <c r="WK81" s="87"/>
      <c r="WL81" s="87"/>
      <c r="WM81" s="87"/>
      <c r="WN81" s="87"/>
      <c r="WO81" s="87"/>
      <c r="WP81" s="87"/>
      <c r="WQ81" s="87"/>
      <c r="WR81" s="87"/>
      <c r="WS81" s="87"/>
      <c r="WT81" s="87"/>
      <c r="WU81" s="87"/>
      <c r="WV81" s="87"/>
      <c r="WW81" s="87"/>
      <c r="WX81" s="87"/>
      <c r="WY81" s="87"/>
      <c r="WZ81" s="87"/>
      <c r="XA81" s="87"/>
      <c r="XB81" s="87"/>
      <c r="XC81" s="87"/>
      <c r="XD81" s="87"/>
      <c r="XE81" s="87"/>
      <c r="XF81" s="87"/>
      <c r="XG81" s="87"/>
      <c r="XH81" s="87"/>
      <c r="XI81" s="87"/>
      <c r="XJ81" s="87"/>
      <c r="XK81" s="87"/>
      <c r="XL81" s="87"/>
      <c r="XM81" s="87"/>
      <c r="XN81" s="87"/>
      <c r="XO81" s="87"/>
      <c r="XP81" s="87"/>
      <c r="XQ81" s="87"/>
      <c r="XR81" s="87"/>
      <c r="XS81" s="87"/>
      <c r="XT81" s="87"/>
      <c r="XU81" s="87"/>
      <c r="XV81" s="87"/>
      <c r="XW81" s="87"/>
      <c r="XX81" s="87"/>
      <c r="XY81" s="87"/>
      <c r="XZ81" s="87"/>
      <c r="YA81" s="87"/>
      <c r="YB81" s="87"/>
      <c r="YC81" s="87"/>
      <c r="YD81" s="87"/>
      <c r="YE81" s="87"/>
      <c r="YF81" s="87"/>
      <c r="YG81" s="87"/>
      <c r="YH81" s="87"/>
      <c r="YI81" s="87"/>
      <c r="YJ81" s="87"/>
      <c r="YK81" s="87"/>
      <c r="YL81" s="87"/>
      <c r="YM81" s="87"/>
      <c r="YN81" s="87"/>
      <c r="YO81" s="87"/>
      <c r="YP81" s="87"/>
      <c r="YQ81" s="87"/>
      <c r="YR81" s="87"/>
      <c r="YS81" s="87"/>
      <c r="YT81" s="87"/>
      <c r="YU81" s="87"/>
      <c r="YV81" s="87"/>
      <c r="YW81" s="87"/>
      <c r="YX81" s="87"/>
      <c r="YY81" s="87"/>
      <c r="YZ81" s="87"/>
      <c r="ZA81" s="87"/>
      <c r="ZB81" s="87"/>
      <c r="ZC81" s="87"/>
      <c r="ZD81" s="87"/>
      <c r="ZE81" s="87"/>
      <c r="ZF81" s="87"/>
      <c r="ZG81" s="87"/>
      <c r="ZH81" s="87"/>
      <c r="ZI81" s="87"/>
      <c r="ZJ81" s="87"/>
      <c r="ZK81" s="87"/>
      <c r="ZL81" s="87"/>
      <c r="ZM81" s="87"/>
      <c r="ZN81" s="87"/>
      <c r="ZO81" s="87"/>
      <c r="ZP81" s="87"/>
      <c r="ZQ81" s="87"/>
      <c r="ZR81" s="87"/>
      <c r="ZS81" s="87"/>
      <c r="ZT81" s="87"/>
      <c r="ZU81" s="87"/>
      <c r="ZV81" s="87"/>
      <c r="ZW81" s="87"/>
      <c r="ZX81" s="87"/>
      <c r="ZY81" s="87"/>
      <c r="ZZ81" s="87"/>
      <c r="AAA81" s="87"/>
      <c r="AAB81" s="87"/>
      <c r="AAC81" s="87"/>
      <c r="AAD81" s="87"/>
      <c r="AAE81" s="87"/>
      <c r="AAF81" s="87"/>
      <c r="AAG81" s="87"/>
      <c r="AAH81" s="87"/>
      <c r="AAI81" s="87"/>
      <c r="AAJ81" s="87"/>
      <c r="AAK81" s="87"/>
      <c r="AAL81" s="87"/>
      <c r="AAM81" s="87"/>
      <c r="AAN81" s="87"/>
      <c r="AAO81" s="87"/>
      <c r="AAP81" s="87"/>
      <c r="AAQ81" s="87"/>
      <c r="AAR81" s="87"/>
      <c r="AAS81" s="87"/>
      <c r="AAT81" s="87"/>
      <c r="AAU81" s="87"/>
      <c r="AAV81" s="87"/>
      <c r="AAW81" s="87"/>
      <c r="AAX81" s="87"/>
      <c r="AAY81" s="87"/>
      <c r="AAZ81" s="87"/>
      <c r="ABA81" s="87"/>
      <c r="ABB81" s="87"/>
      <c r="ABC81" s="87"/>
      <c r="ABD81" s="87"/>
      <c r="ABE81" s="87"/>
      <c r="ABF81" s="87"/>
      <c r="ABG81" s="87"/>
      <c r="ABH81" s="87"/>
      <c r="ABI81" s="87"/>
      <c r="ABJ81" s="87"/>
      <c r="ABK81" s="87"/>
      <c r="ABL81" s="87"/>
      <c r="ABM81" s="87"/>
      <c r="ABN81" s="87"/>
      <c r="ABO81" s="87"/>
      <c r="ABP81" s="87"/>
      <c r="ABQ81" s="87"/>
      <c r="ABR81" s="87"/>
      <c r="ABS81" s="87"/>
      <c r="ABT81" s="87"/>
      <c r="ABU81" s="87"/>
      <c r="ABV81" s="87"/>
      <c r="ABW81" s="87"/>
      <c r="ABX81" s="87"/>
      <c r="ABY81" s="87"/>
      <c r="ABZ81" s="87"/>
      <c r="ACA81" s="87"/>
      <c r="ACB81" s="87"/>
      <c r="ACC81" s="87"/>
      <c r="ACD81" s="87"/>
      <c r="ACE81" s="87"/>
      <c r="ACF81" s="87"/>
      <c r="ACG81" s="87"/>
      <c r="ACH81" s="87"/>
      <c r="ACI81" s="87"/>
      <c r="ACJ81" s="87"/>
      <c r="ACK81" s="87"/>
      <c r="ACL81" s="87"/>
      <c r="ACM81" s="87"/>
      <c r="ACN81" s="87"/>
      <c r="ACO81" s="87"/>
      <c r="ACP81" s="87"/>
      <c r="ACQ81" s="87"/>
      <c r="ACR81" s="87"/>
      <c r="ACS81" s="87"/>
      <c r="ACT81" s="87"/>
      <c r="ACU81" s="87"/>
      <c r="ACV81" s="87"/>
      <c r="ACW81" s="87"/>
      <c r="ACX81" s="87"/>
      <c r="ACY81" s="87"/>
      <c r="ACZ81" s="87"/>
      <c r="ADA81" s="87"/>
      <c r="ADB81" s="87"/>
      <c r="ADC81" s="87"/>
      <c r="ADD81" s="87"/>
      <c r="ADE81" s="87"/>
      <c r="ADF81" s="87"/>
      <c r="ADG81" s="87"/>
      <c r="ADH81" s="87"/>
      <c r="ADI81" s="87"/>
      <c r="ADJ81" s="87"/>
      <c r="ADK81" s="87"/>
      <c r="ADL81" s="87"/>
      <c r="ADM81" s="87"/>
      <c r="ADN81" s="87"/>
      <c r="ADO81" s="87"/>
      <c r="ADP81" s="87"/>
      <c r="ADQ81" s="87"/>
      <c r="ADR81" s="87"/>
      <c r="ADS81" s="87"/>
      <c r="ADT81" s="87"/>
      <c r="ADU81" s="87"/>
      <c r="ADV81" s="87"/>
      <c r="ADW81" s="87"/>
      <c r="ADX81" s="87"/>
      <c r="ADY81" s="87"/>
      <c r="ADZ81" s="87"/>
      <c r="AEA81" s="87"/>
      <c r="AEB81" s="87"/>
      <c r="AEC81" s="87"/>
      <c r="AED81" s="87"/>
      <c r="AEE81" s="87"/>
      <c r="AEF81" s="87"/>
      <c r="AEG81" s="87"/>
      <c r="AEH81" s="87"/>
      <c r="AEI81" s="87"/>
      <c r="AEJ81" s="87"/>
      <c r="AEK81" s="87"/>
      <c r="AEL81" s="87"/>
      <c r="AEM81" s="87"/>
      <c r="AEN81" s="87"/>
      <c r="AEO81" s="87"/>
      <c r="AEP81" s="87"/>
      <c r="AEQ81" s="87"/>
      <c r="AER81" s="87"/>
      <c r="AES81" s="87"/>
      <c r="AET81" s="87"/>
      <c r="AEU81" s="87"/>
      <c r="AEV81" s="87"/>
      <c r="AEW81" s="87"/>
      <c r="AEX81" s="87"/>
      <c r="AEY81" s="87"/>
      <c r="AEZ81" s="87"/>
      <c r="AFA81" s="87"/>
      <c r="AFB81" s="87"/>
      <c r="AFC81" s="87"/>
      <c r="AFD81" s="87"/>
      <c r="AFE81" s="87"/>
      <c r="AFF81" s="87"/>
      <c r="AFG81" s="87"/>
      <c r="AFH81" s="87"/>
      <c r="AFI81" s="87"/>
      <c r="AFJ81" s="87"/>
      <c r="AFK81" s="87"/>
      <c r="AFL81" s="87"/>
      <c r="AFM81" s="87"/>
      <c r="AFN81" s="87"/>
      <c r="AFO81" s="87"/>
      <c r="AFP81" s="87"/>
      <c r="AFQ81" s="87"/>
      <c r="AFR81" s="87"/>
      <c r="AFS81" s="87"/>
      <c r="AFT81" s="87"/>
      <c r="AFU81" s="87"/>
      <c r="AFV81" s="87"/>
      <c r="AFW81" s="87"/>
      <c r="AFX81" s="87"/>
      <c r="AFY81" s="87"/>
      <c r="AFZ81" s="87"/>
      <c r="AGA81" s="87"/>
      <c r="AGB81" s="87"/>
      <c r="AGC81" s="87"/>
      <c r="AGD81" s="87"/>
      <c r="AGE81" s="87"/>
      <c r="AGF81" s="87"/>
      <c r="AGG81" s="87"/>
      <c r="AGH81" s="87"/>
      <c r="AGI81" s="87"/>
      <c r="AGJ81" s="87"/>
      <c r="AGK81" s="87"/>
      <c r="AGL81" s="87"/>
      <c r="AGM81" s="87"/>
      <c r="AGN81" s="87"/>
      <c r="AGO81" s="87"/>
      <c r="AGP81" s="87"/>
      <c r="AGQ81" s="87"/>
      <c r="AGR81" s="87"/>
      <c r="AGS81" s="87"/>
      <c r="AGT81" s="87"/>
      <c r="AGU81" s="87"/>
      <c r="AGV81" s="87"/>
      <c r="AGW81" s="87"/>
      <c r="AGX81" s="87"/>
      <c r="AGY81" s="87"/>
      <c r="AGZ81" s="87"/>
      <c r="AHA81" s="87"/>
      <c r="AHB81" s="87"/>
      <c r="AHC81" s="87"/>
      <c r="AHD81" s="87"/>
      <c r="AHE81" s="87"/>
      <c r="AHF81" s="87"/>
      <c r="AHG81" s="87"/>
      <c r="AHH81" s="87"/>
      <c r="AHI81" s="87"/>
      <c r="AHJ81" s="87"/>
      <c r="AHK81" s="87"/>
      <c r="AHL81" s="87"/>
      <c r="AHM81" s="87"/>
      <c r="AHN81" s="87"/>
      <c r="AHO81" s="87"/>
      <c r="AHP81" s="87"/>
      <c r="AHQ81" s="87"/>
      <c r="AHR81" s="87"/>
      <c r="AHS81" s="87"/>
      <c r="AHT81" s="87"/>
      <c r="AHU81" s="87"/>
      <c r="AHV81" s="87"/>
      <c r="AHW81" s="87"/>
      <c r="AHX81" s="87"/>
      <c r="AHY81" s="87"/>
      <c r="AHZ81" s="87"/>
      <c r="AIA81" s="87"/>
      <c r="AIB81" s="87"/>
      <c r="AIC81" s="87"/>
      <c r="AID81" s="87"/>
      <c r="AIE81" s="87"/>
      <c r="AIF81" s="87"/>
      <c r="AIG81" s="87"/>
      <c r="AIH81" s="87"/>
      <c r="AII81" s="87"/>
      <c r="AIJ81" s="87"/>
      <c r="AIK81" s="87"/>
      <c r="AIL81" s="87"/>
      <c r="AIM81" s="87"/>
      <c r="AIN81" s="87"/>
      <c r="AIO81" s="87"/>
      <c r="AIP81" s="87"/>
      <c r="AIQ81" s="87"/>
      <c r="AIR81" s="87"/>
      <c r="AIS81" s="87"/>
      <c r="AIT81" s="87"/>
      <c r="AIU81" s="87"/>
      <c r="AIV81" s="87"/>
      <c r="AIW81" s="87"/>
      <c r="AIX81" s="87"/>
      <c r="AIY81" s="87"/>
      <c r="AIZ81" s="87"/>
      <c r="AJA81" s="87"/>
      <c r="AJB81" s="87"/>
      <c r="AJC81" s="87"/>
      <c r="AJD81" s="87"/>
      <c r="AJE81" s="87"/>
      <c r="AJF81" s="87"/>
      <c r="AJG81" s="87"/>
      <c r="AJH81" s="87"/>
      <c r="AJI81" s="87"/>
      <c r="AJJ81" s="87"/>
      <c r="AJK81" s="87"/>
      <c r="AJL81" s="87"/>
      <c r="AJM81" s="87"/>
      <c r="AJN81" s="87"/>
      <c r="AJO81" s="87"/>
      <c r="AJP81" s="87"/>
      <c r="AJQ81" s="87"/>
      <c r="AJR81" s="87"/>
      <c r="AJS81" s="87"/>
      <c r="AJT81" s="87"/>
      <c r="AJU81" s="87"/>
      <c r="AJV81" s="87"/>
      <c r="AJW81" s="87"/>
      <c r="AJX81" s="87"/>
      <c r="AJY81" s="87"/>
      <c r="AJZ81" s="87"/>
      <c r="AKA81" s="87"/>
      <c r="AKB81" s="87"/>
      <c r="AKC81" s="87"/>
      <c r="AKD81" s="87"/>
      <c r="AKE81" s="87"/>
      <c r="AKF81" s="87"/>
      <c r="AKG81" s="87"/>
      <c r="AKH81" s="87"/>
      <c r="AKI81" s="87"/>
      <c r="AKJ81" s="87"/>
      <c r="AKK81" s="87"/>
      <c r="AKL81" s="87"/>
      <c r="AKM81" s="87"/>
      <c r="AKN81" s="87"/>
      <c r="AKO81" s="87"/>
      <c r="AKP81" s="87"/>
      <c r="AKQ81" s="87"/>
      <c r="AKR81" s="87"/>
      <c r="AKS81" s="87"/>
      <c r="AKT81" s="87"/>
      <c r="AKU81" s="87"/>
      <c r="AKV81" s="87"/>
      <c r="AKW81" s="87"/>
      <c r="AKX81" s="87"/>
      <c r="AKY81" s="87"/>
      <c r="AKZ81" s="87"/>
      <c r="ALA81" s="87"/>
    </row>
    <row r="82" spans="1:989" x14ac:dyDescent="0.25">
      <c r="A82" s="219" t="s">
        <v>84</v>
      </c>
      <c r="B82" s="219"/>
      <c r="C82" s="219"/>
      <c r="D82" s="219"/>
      <c r="E82" s="219"/>
      <c r="F82" s="219"/>
      <c r="G82" s="219"/>
      <c r="H82" s="107"/>
      <c r="I82" s="107"/>
    </row>
    <row r="83" spans="1:989" ht="24.6" customHeight="1" x14ac:dyDescent="0.25">
      <c r="A83" s="5"/>
      <c r="B83" s="5"/>
      <c r="C83" s="5"/>
      <c r="D83" s="5"/>
      <c r="E83" s="5"/>
      <c r="F83" s="5"/>
      <c r="G83" s="84"/>
      <c r="H83" s="5"/>
      <c r="I83" s="5"/>
    </row>
    <row r="84" spans="1:989" ht="36.6" customHeight="1" x14ac:dyDescent="0.25"/>
    <row r="85" spans="1:989" ht="25.5" customHeight="1" x14ac:dyDescent="0.25"/>
    <row r="86" spans="1:989" ht="25.5" customHeight="1" x14ac:dyDescent="0.25"/>
    <row r="87" spans="1:989" s="88" customFormat="1" ht="25.5" customHeight="1" x14ac:dyDescent="0.2">
      <c r="A87" s="70"/>
      <c r="B87" s="70"/>
      <c r="C87" s="70"/>
      <c r="D87" s="70"/>
      <c r="E87" s="70"/>
      <c r="F87" s="70"/>
      <c r="G87" s="80"/>
      <c r="H87" s="70"/>
      <c r="I87" s="70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7"/>
      <c r="AL87" s="87"/>
      <c r="AM87" s="87"/>
      <c r="AN87" s="87"/>
      <c r="AO87" s="87"/>
      <c r="AP87" s="87"/>
      <c r="AQ87" s="87"/>
      <c r="AR87" s="87"/>
      <c r="AS87" s="87"/>
      <c r="AT87" s="87"/>
      <c r="AU87" s="87"/>
      <c r="AV87" s="87"/>
      <c r="AW87" s="87"/>
      <c r="AX87" s="87"/>
      <c r="AY87" s="87"/>
      <c r="AZ87" s="87"/>
      <c r="BA87" s="87"/>
      <c r="BB87" s="87"/>
      <c r="BC87" s="87"/>
      <c r="BD87" s="87"/>
      <c r="BE87" s="87"/>
      <c r="BF87" s="87"/>
      <c r="BG87" s="87"/>
      <c r="BH87" s="87"/>
      <c r="BI87" s="87"/>
      <c r="BJ87" s="87"/>
      <c r="BK87" s="87"/>
      <c r="BL87" s="87"/>
      <c r="BM87" s="87"/>
      <c r="BN87" s="87"/>
      <c r="BO87" s="87"/>
      <c r="BP87" s="87"/>
      <c r="BQ87" s="87"/>
      <c r="BR87" s="87"/>
      <c r="BS87" s="87"/>
      <c r="BT87" s="87"/>
      <c r="BU87" s="87"/>
      <c r="BV87" s="87"/>
      <c r="BW87" s="87"/>
      <c r="BX87" s="87"/>
      <c r="BY87" s="87"/>
      <c r="BZ87" s="87"/>
      <c r="CA87" s="87"/>
      <c r="CB87" s="87"/>
      <c r="CC87" s="87"/>
      <c r="CD87" s="87"/>
      <c r="CE87" s="87"/>
      <c r="CF87" s="87"/>
      <c r="CG87" s="87"/>
      <c r="CH87" s="87"/>
      <c r="CI87" s="87"/>
      <c r="CJ87" s="87"/>
      <c r="CK87" s="87"/>
      <c r="CL87" s="87"/>
      <c r="CM87" s="87"/>
      <c r="CN87" s="87"/>
      <c r="CO87" s="87"/>
      <c r="CP87" s="87"/>
      <c r="CQ87" s="87"/>
      <c r="CR87" s="87"/>
      <c r="CS87" s="87"/>
      <c r="CT87" s="87"/>
      <c r="CU87" s="87"/>
      <c r="CV87" s="87"/>
      <c r="CW87" s="87"/>
      <c r="CX87" s="87"/>
      <c r="CY87" s="87"/>
      <c r="CZ87" s="87"/>
      <c r="DA87" s="87"/>
      <c r="DB87" s="87"/>
      <c r="DC87" s="87"/>
      <c r="DD87" s="87"/>
      <c r="DE87" s="87"/>
      <c r="DF87" s="87"/>
      <c r="DG87" s="87"/>
      <c r="DH87" s="87"/>
      <c r="DI87" s="87"/>
      <c r="DJ87" s="87"/>
      <c r="DK87" s="87"/>
      <c r="DL87" s="87"/>
      <c r="DM87" s="87"/>
      <c r="DN87" s="87"/>
      <c r="DO87" s="87"/>
      <c r="DP87" s="87"/>
      <c r="DQ87" s="87"/>
      <c r="DR87" s="87"/>
      <c r="DS87" s="87"/>
      <c r="DT87" s="87"/>
      <c r="DU87" s="87"/>
      <c r="DV87" s="87"/>
      <c r="DW87" s="87"/>
      <c r="DX87" s="87"/>
      <c r="DY87" s="87"/>
      <c r="DZ87" s="87"/>
      <c r="EA87" s="87"/>
      <c r="EB87" s="87"/>
      <c r="EC87" s="87"/>
      <c r="ED87" s="87"/>
      <c r="EE87" s="87"/>
      <c r="EF87" s="87"/>
      <c r="EG87" s="87"/>
      <c r="EH87" s="87"/>
      <c r="EI87" s="87"/>
      <c r="EJ87" s="87"/>
      <c r="EK87" s="87"/>
      <c r="EL87" s="87"/>
      <c r="EM87" s="87"/>
      <c r="EN87" s="87"/>
      <c r="EO87" s="87"/>
      <c r="EP87" s="87"/>
      <c r="EQ87" s="87"/>
      <c r="ER87" s="87"/>
      <c r="ES87" s="87"/>
      <c r="ET87" s="87"/>
      <c r="EU87" s="87"/>
      <c r="EV87" s="87"/>
      <c r="EW87" s="87"/>
      <c r="EX87" s="87"/>
      <c r="EY87" s="87"/>
      <c r="EZ87" s="87"/>
      <c r="FA87" s="87"/>
      <c r="FB87" s="87"/>
      <c r="FC87" s="87"/>
      <c r="FD87" s="87"/>
      <c r="FE87" s="87"/>
      <c r="FF87" s="87"/>
      <c r="FG87" s="87"/>
      <c r="FH87" s="87"/>
      <c r="FI87" s="87"/>
      <c r="FJ87" s="87"/>
      <c r="FK87" s="87"/>
      <c r="FL87" s="87"/>
      <c r="FM87" s="87"/>
      <c r="FN87" s="87"/>
      <c r="FO87" s="87"/>
      <c r="FP87" s="87"/>
      <c r="FQ87" s="87"/>
      <c r="FR87" s="87"/>
      <c r="FS87" s="87"/>
      <c r="FT87" s="87"/>
      <c r="FU87" s="87"/>
      <c r="FV87" s="87"/>
      <c r="FW87" s="87"/>
      <c r="FX87" s="87"/>
      <c r="FY87" s="87"/>
      <c r="FZ87" s="87"/>
      <c r="GA87" s="87"/>
      <c r="GB87" s="87"/>
      <c r="GC87" s="87"/>
      <c r="GD87" s="87"/>
      <c r="GE87" s="87"/>
      <c r="GF87" s="87"/>
      <c r="GG87" s="87"/>
      <c r="GH87" s="87"/>
      <c r="GI87" s="87"/>
      <c r="GJ87" s="87"/>
      <c r="GK87" s="87"/>
      <c r="GL87" s="87"/>
      <c r="GM87" s="87"/>
      <c r="GN87" s="87"/>
      <c r="GO87" s="87"/>
      <c r="GP87" s="87"/>
      <c r="GQ87" s="87"/>
      <c r="GR87" s="87"/>
      <c r="GS87" s="87"/>
      <c r="GT87" s="87"/>
      <c r="GU87" s="87"/>
      <c r="GV87" s="87"/>
      <c r="GW87" s="87"/>
      <c r="GX87" s="87"/>
      <c r="GY87" s="87"/>
      <c r="GZ87" s="87"/>
      <c r="HA87" s="87"/>
      <c r="HB87" s="87"/>
      <c r="HC87" s="87"/>
      <c r="HD87" s="87"/>
      <c r="HE87" s="87"/>
      <c r="HF87" s="87"/>
      <c r="HG87" s="87"/>
      <c r="HH87" s="87"/>
      <c r="HI87" s="87"/>
      <c r="HJ87" s="87"/>
      <c r="HK87" s="87"/>
      <c r="HL87" s="87"/>
      <c r="HM87" s="87"/>
      <c r="HN87" s="87"/>
      <c r="HO87" s="87"/>
      <c r="HP87" s="87"/>
      <c r="HQ87" s="87"/>
      <c r="HR87" s="87"/>
      <c r="HS87" s="87"/>
      <c r="HT87" s="87"/>
      <c r="HU87" s="87"/>
      <c r="HV87" s="87"/>
      <c r="HW87" s="87"/>
      <c r="HX87" s="87"/>
      <c r="HY87" s="87"/>
      <c r="HZ87" s="87"/>
      <c r="IA87" s="87"/>
      <c r="IB87" s="87"/>
      <c r="IC87" s="87"/>
      <c r="ID87" s="87"/>
      <c r="IE87" s="87"/>
      <c r="IF87" s="87"/>
      <c r="IG87" s="87"/>
      <c r="IH87" s="87"/>
      <c r="II87" s="87"/>
      <c r="IJ87" s="87"/>
      <c r="IK87" s="87"/>
      <c r="IL87" s="87"/>
      <c r="IM87" s="87"/>
      <c r="IN87" s="87"/>
      <c r="IO87" s="87"/>
      <c r="IP87" s="87"/>
      <c r="IQ87" s="87"/>
      <c r="IR87" s="87"/>
      <c r="IS87" s="87"/>
      <c r="IT87" s="87"/>
      <c r="IU87" s="87"/>
      <c r="IV87" s="87"/>
      <c r="IW87" s="87"/>
      <c r="IX87" s="87"/>
      <c r="IY87" s="87"/>
      <c r="IZ87" s="87"/>
      <c r="JA87" s="87"/>
      <c r="JB87" s="87"/>
      <c r="JC87" s="87"/>
      <c r="JD87" s="87"/>
      <c r="JE87" s="87"/>
      <c r="JF87" s="87"/>
      <c r="JG87" s="87"/>
      <c r="JH87" s="87"/>
      <c r="JI87" s="87"/>
      <c r="JJ87" s="87"/>
      <c r="JK87" s="87"/>
      <c r="JL87" s="87"/>
      <c r="JM87" s="87"/>
      <c r="JN87" s="87"/>
      <c r="JO87" s="87"/>
      <c r="JP87" s="87"/>
      <c r="JQ87" s="87"/>
      <c r="JR87" s="87"/>
      <c r="JS87" s="87"/>
      <c r="JT87" s="87"/>
      <c r="JU87" s="87"/>
      <c r="JV87" s="87"/>
      <c r="JW87" s="87"/>
      <c r="JX87" s="87"/>
      <c r="JY87" s="87"/>
      <c r="JZ87" s="87"/>
      <c r="KA87" s="87"/>
      <c r="KB87" s="87"/>
      <c r="KC87" s="87"/>
      <c r="KD87" s="87"/>
      <c r="KE87" s="87"/>
      <c r="KF87" s="87"/>
      <c r="KG87" s="87"/>
      <c r="KH87" s="87"/>
      <c r="KI87" s="87"/>
      <c r="KJ87" s="87"/>
      <c r="KK87" s="87"/>
      <c r="KL87" s="87"/>
      <c r="KM87" s="87"/>
      <c r="KN87" s="87"/>
      <c r="KO87" s="87"/>
      <c r="KP87" s="87"/>
      <c r="KQ87" s="87"/>
      <c r="KR87" s="87"/>
      <c r="KS87" s="87"/>
      <c r="KT87" s="87"/>
      <c r="KU87" s="87"/>
      <c r="KV87" s="87"/>
      <c r="KW87" s="87"/>
      <c r="KX87" s="87"/>
      <c r="KY87" s="87"/>
      <c r="KZ87" s="87"/>
      <c r="LA87" s="87"/>
      <c r="LB87" s="87"/>
      <c r="LC87" s="87"/>
      <c r="LD87" s="87"/>
      <c r="LE87" s="87"/>
      <c r="LF87" s="87"/>
      <c r="LG87" s="87"/>
      <c r="LH87" s="87"/>
      <c r="LI87" s="87"/>
      <c r="LJ87" s="87"/>
      <c r="LK87" s="87"/>
      <c r="LL87" s="87"/>
      <c r="LM87" s="87"/>
      <c r="LN87" s="87"/>
      <c r="LO87" s="87"/>
      <c r="LP87" s="87"/>
      <c r="LQ87" s="87"/>
      <c r="LR87" s="87"/>
      <c r="LS87" s="87"/>
      <c r="LT87" s="87"/>
      <c r="LU87" s="87"/>
      <c r="LV87" s="87"/>
      <c r="LW87" s="87"/>
      <c r="LX87" s="87"/>
      <c r="LY87" s="87"/>
      <c r="LZ87" s="87"/>
      <c r="MA87" s="87"/>
      <c r="MB87" s="87"/>
      <c r="MC87" s="87"/>
      <c r="MD87" s="87"/>
      <c r="ME87" s="87"/>
      <c r="MF87" s="87"/>
      <c r="MG87" s="87"/>
      <c r="MH87" s="87"/>
      <c r="MI87" s="87"/>
      <c r="MJ87" s="87"/>
      <c r="MK87" s="87"/>
      <c r="ML87" s="87"/>
      <c r="MM87" s="87"/>
      <c r="MN87" s="87"/>
      <c r="MO87" s="87"/>
      <c r="MP87" s="87"/>
      <c r="MQ87" s="87"/>
      <c r="MR87" s="87"/>
      <c r="MS87" s="87"/>
      <c r="MT87" s="87"/>
      <c r="MU87" s="87"/>
      <c r="MV87" s="87"/>
      <c r="MW87" s="87"/>
      <c r="MX87" s="87"/>
      <c r="MY87" s="87"/>
      <c r="MZ87" s="87"/>
      <c r="NA87" s="87"/>
      <c r="NB87" s="87"/>
      <c r="NC87" s="87"/>
      <c r="ND87" s="87"/>
      <c r="NE87" s="87"/>
      <c r="NF87" s="87"/>
      <c r="NG87" s="87"/>
      <c r="NH87" s="87"/>
      <c r="NI87" s="87"/>
      <c r="NJ87" s="87"/>
      <c r="NK87" s="87"/>
      <c r="NL87" s="87"/>
      <c r="NM87" s="87"/>
      <c r="NN87" s="87"/>
      <c r="NO87" s="87"/>
      <c r="NP87" s="87"/>
      <c r="NQ87" s="87"/>
      <c r="NR87" s="87"/>
      <c r="NS87" s="87"/>
      <c r="NT87" s="87"/>
      <c r="NU87" s="87"/>
      <c r="NV87" s="87"/>
      <c r="NW87" s="87"/>
      <c r="NX87" s="87"/>
      <c r="NY87" s="87"/>
      <c r="NZ87" s="87"/>
      <c r="OA87" s="87"/>
      <c r="OB87" s="87"/>
      <c r="OC87" s="87"/>
      <c r="OD87" s="87"/>
      <c r="OE87" s="87"/>
      <c r="OF87" s="87"/>
      <c r="OG87" s="87"/>
      <c r="OH87" s="87"/>
      <c r="OI87" s="87"/>
      <c r="OJ87" s="87"/>
      <c r="OK87" s="87"/>
      <c r="OL87" s="87"/>
      <c r="OM87" s="87"/>
      <c r="ON87" s="87"/>
      <c r="OO87" s="87"/>
      <c r="OP87" s="87"/>
      <c r="OQ87" s="87"/>
      <c r="OR87" s="87"/>
      <c r="OS87" s="87"/>
      <c r="OT87" s="87"/>
      <c r="OU87" s="87"/>
      <c r="OV87" s="87"/>
      <c r="OW87" s="87"/>
      <c r="OX87" s="87"/>
      <c r="OY87" s="87"/>
      <c r="OZ87" s="87"/>
      <c r="PA87" s="87"/>
      <c r="PB87" s="87"/>
      <c r="PC87" s="87"/>
      <c r="PD87" s="87"/>
      <c r="PE87" s="87"/>
      <c r="PF87" s="87"/>
      <c r="PG87" s="87"/>
      <c r="PH87" s="87"/>
      <c r="PI87" s="87"/>
      <c r="PJ87" s="87"/>
      <c r="PK87" s="87"/>
      <c r="PL87" s="87"/>
      <c r="PM87" s="87"/>
      <c r="PN87" s="87"/>
      <c r="PO87" s="87"/>
      <c r="PP87" s="87"/>
      <c r="PQ87" s="87"/>
      <c r="PR87" s="87"/>
      <c r="PS87" s="87"/>
      <c r="PT87" s="87"/>
      <c r="PU87" s="87"/>
      <c r="PV87" s="87"/>
      <c r="PW87" s="87"/>
      <c r="PX87" s="87"/>
      <c r="PY87" s="87"/>
      <c r="PZ87" s="87"/>
      <c r="QA87" s="87"/>
      <c r="QB87" s="87"/>
      <c r="QC87" s="87"/>
      <c r="QD87" s="87"/>
      <c r="QE87" s="87"/>
      <c r="QF87" s="87"/>
      <c r="QG87" s="87"/>
      <c r="QH87" s="87"/>
      <c r="QI87" s="87"/>
      <c r="QJ87" s="87"/>
      <c r="QK87" s="87"/>
      <c r="QL87" s="87"/>
      <c r="QM87" s="87"/>
      <c r="QN87" s="87"/>
      <c r="QO87" s="87"/>
      <c r="QP87" s="87"/>
      <c r="QQ87" s="87"/>
      <c r="QR87" s="87"/>
      <c r="QS87" s="87"/>
      <c r="QT87" s="87"/>
      <c r="QU87" s="87"/>
      <c r="QV87" s="87"/>
      <c r="QW87" s="87"/>
      <c r="QX87" s="87"/>
      <c r="QY87" s="87"/>
      <c r="QZ87" s="87"/>
      <c r="RA87" s="87"/>
      <c r="RB87" s="87"/>
      <c r="RC87" s="87"/>
      <c r="RD87" s="87"/>
      <c r="RE87" s="87"/>
      <c r="RF87" s="87"/>
      <c r="RG87" s="87"/>
      <c r="RH87" s="87"/>
      <c r="RI87" s="87"/>
      <c r="RJ87" s="87"/>
      <c r="RK87" s="87"/>
      <c r="RL87" s="87"/>
      <c r="RM87" s="87"/>
      <c r="RN87" s="87"/>
      <c r="RO87" s="87"/>
      <c r="RP87" s="87"/>
      <c r="RQ87" s="87"/>
      <c r="RR87" s="87"/>
      <c r="RS87" s="87"/>
      <c r="RT87" s="87"/>
      <c r="RU87" s="87"/>
      <c r="RV87" s="87"/>
      <c r="RW87" s="87"/>
      <c r="RX87" s="87"/>
      <c r="RY87" s="87"/>
      <c r="RZ87" s="87"/>
      <c r="SA87" s="87"/>
      <c r="SB87" s="87"/>
      <c r="SC87" s="87"/>
      <c r="SD87" s="87"/>
      <c r="SE87" s="87"/>
      <c r="SF87" s="87"/>
      <c r="SG87" s="87"/>
      <c r="SH87" s="87"/>
      <c r="SI87" s="87"/>
      <c r="SJ87" s="87"/>
      <c r="SK87" s="87"/>
      <c r="SL87" s="87"/>
      <c r="SM87" s="87"/>
      <c r="SN87" s="87"/>
      <c r="SO87" s="87"/>
      <c r="SP87" s="87"/>
      <c r="SQ87" s="87"/>
      <c r="SR87" s="87"/>
      <c r="SS87" s="87"/>
      <c r="ST87" s="87"/>
      <c r="SU87" s="87"/>
      <c r="SV87" s="87"/>
      <c r="SW87" s="87"/>
      <c r="SX87" s="87"/>
      <c r="SY87" s="87"/>
      <c r="SZ87" s="87"/>
      <c r="TA87" s="87"/>
      <c r="TB87" s="87"/>
      <c r="TC87" s="87"/>
      <c r="TD87" s="87"/>
      <c r="TE87" s="87"/>
      <c r="TF87" s="87"/>
      <c r="TG87" s="87"/>
      <c r="TH87" s="87"/>
      <c r="TI87" s="87"/>
      <c r="TJ87" s="87"/>
      <c r="TK87" s="87"/>
      <c r="TL87" s="87"/>
      <c r="TM87" s="87"/>
      <c r="TN87" s="87"/>
      <c r="TO87" s="87"/>
      <c r="TP87" s="87"/>
      <c r="TQ87" s="87"/>
      <c r="TR87" s="87"/>
      <c r="TS87" s="87"/>
      <c r="TT87" s="87"/>
      <c r="TU87" s="87"/>
      <c r="TV87" s="87"/>
      <c r="TW87" s="87"/>
      <c r="TX87" s="87"/>
      <c r="TY87" s="87"/>
      <c r="TZ87" s="87"/>
      <c r="UA87" s="87"/>
      <c r="UB87" s="87"/>
      <c r="UC87" s="87"/>
      <c r="UD87" s="87"/>
      <c r="UE87" s="87"/>
      <c r="UF87" s="87"/>
      <c r="UG87" s="87"/>
      <c r="UH87" s="87"/>
      <c r="UI87" s="87"/>
      <c r="UJ87" s="87"/>
      <c r="UK87" s="87"/>
      <c r="UL87" s="87"/>
      <c r="UM87" s="87"/>
      <c r="UN87" s="87"/>
      <c r="UO87" s="87"/>
      <c r="UP87" s="87"/>
      <c r="UQ87" s="87"/>
      <c r="UR87" s="87"/>
      <c r="US87" s="87"/>
      <c r="UT87" s="87"/>
      <c r="UU87" s="87"/>
      <c r="UV87" s="87"/>
      <c r="UW87" s="87"/>
      <c r="UX87" s="87"/>
      <c r="UY87" s="87"/>
      <c r="UZ87" s="87"/>
      <c r="VA87" s="87"/>
      <c r="VB87" s="87"/>
      <c r="VC87" s="87"/>
      <c r="VD87" s="87"/>
      <c r="VE87" s="87"/>
      <c r="VF87" s="87"/>
      <c r="VG87" s="87"/>
      <c r="VH87" s="87"/>
      <c r="VI87" s="87"/>
      <c r="VJ87" s="87"/>
      <c r="VK87" s="87"/>
      <c r="VL87" s="87"/>
      <c r="VM87" s="87"/>
      <c r="VN87" s="87"/>
      <c r="VO87" s="87"/>
      <c r="VP87" s="87"/>
      <c r="VQ87" s="87"/>
      <c r="VR87" s="87"/>
      <c r="VS87" s="87"/>
      <c r="VT87" s="87"/>
      <c r="VU87" s="87"/>
      <c r="VV87" s="87"/>
      <c r="VW87" s="87"/>
      <c r="VX87" s="87"/>
      <c r="VY87" s="87"/>
      <c r="VZ87" s="87"/>
      <c r="WA87" s="87"/>
      <c r="WB87" s="87"/>
      <c r="WC87" s="87"/>
      <c r="WD87" s="87"/>
      <c r="WE87" s="87"/>
      <c r="WF87" s="87"/>
      <c r="WG87" s="87"/>
      <c r="WH87" s="87"/>
      <c r="WI87" s="87"/>
      <c r="WJ87" s="87"/>
      <c r="WK87" s="87"/>
      <c r="WL87" s="87"/>
      <c r="WM87" s="87"/>
      <c r="WN87" s="87"/>
      <c r="WO87" s="87"/>
      <c r="WP87" s="87"/>
      <c r="WQ87" s="87"/>
      <c r="WR87" s="87"/>
      <c r="WS87" s="87"/>
      <c r="WT87" s="87"/>
      <c r="WU87" s="87"/>
      <c r="WV87" s="87"/>
      <c r="WW87" s="87"/>
      <c r="WX87" s="87"/>
      <c r="WY87" s="87"/>
      <c r="WZ87" s="87"/>
      <c r="XA87" s="87"/>
      <c r="XB87" s="87"/>
      <c r="XC87" s="87"/>
      <c r="XD87" s="87"/>
      <c r="XE87" s="87"/>
      <c r="XF87" s="87"/>
      <c r="XG87" s="87"/>
      <c r="XH87" s="87"/>
      <c r="XI87" s="87"/>
      <c r="XJ87" s="87"/>
      <c r="XK87" s="87"/>
      <c r="XL87" s="87"/>
      <c r="XM87" s="87"/>
      <c r="XN87" s="87"/>
      <c r="XO87" s="87"/>
      <c r="XP87" s="87"/>
      <c r="XQ87" s="87"/>
      <c r="XR87" s="87"/>
      <c r="XS87" s="87"/>
      <c r="XT87" s="87"/>
      <c r="XU87" s="87"/>
      <c r="XV87" s="87"/>
      <c r="XW87" s="87"/>
      <c r="XX87" s="87"/>
      <c r="XY87" s="87"/>
      <c r="XZ87" s="87"/>
      <c r="YA87" s="87"/>
      <c r="YB87" s="87"/>
      <c r="YC87" s="87"/>
      <c r="YD87" s="87"/>
      <c r="YE87" s="87"/>
      <c r="YF87" s="87"/>
      <c r="YG87" s="87"/>
      <c r="YH87" s="87"/>
      <c r="YI87" s="87"/>
      <c r="YJ87" s="87"/>
      <c r="YK87" s="87"/>
      <c r="YL87" s="87"/>
      <c r="YM87" s="87"/>
      <c r="YN87" s="87"/>
      <c r="YO87" s="87"/>
      <c r="YP87" s="87"/>
      <c r="YQ87" s="87"/>
      <c r="YR87" s="87"/>
      <c r="YS87" s="87"/>
      <c r="YT87" s="87"/>
      <c r="YU87" s="87"/>
      <c r="YV87" s="87"/>
      <c r="YW87" s="87"/>
      <c r="YX87" s="87"/>
      <c r="YY87" s="87"/>
      <c r="YZ87" s="87"/>
      <c r="ZA87" s="87"/>
      <c r="ZB87" s="87"/>
      <c r="ZC87" s="87"/>
      <c r="ZD87" s="87"/>
      <c r="ZE87" s="87"/>
      <c r="ZF87" s="87"/>
      <c r="ZG87" s="87"/>
      <c r="ZH87" s="87"/>
      <c r="ZI87" s="87"/>
      <c r="ZJ87" s="87"/>
      <c r="ZK87" s="87"/>
      <c r="ZL87" s="87"/>
      <c r="ZM87" s="87"/>
      <c r="ZN87" s="87"/>
      <c r="ZO87" s="87"/>
      <c r="ZP87" s="87"/>
      <c r="ZQ87" s="87"/>
      <c r="ZR87" s="87"/>
      <c r="ZS87" s="87"/>
      <c r="ZT87" s="87"/>
      <c r="ZU87" s="87"/>
      <c r="ZV87" s="87"/>
      <c r="ZW87" s="87"/>
      <c r="ZX87" s="87"/>
      <c r="ZY87" s="87"/>
      <c r="ZZ87" s="87"/>
      <c r="AAA87" s="87"/>
      <c r="AAB87" s="87"/>
      <c r="AAC87" s="87"/>
      <c r="AAD87" s="87"/>
      <c r="AAE87" s="87"/>
      <c r="AAF87" s="87"/>
      <c r="AAG87" s="87"/>
      <c r="AAH87" s="87"/>
      <c r="AAI87" s="87"/>
      <c r="AAJ87" s="87"/>
      <c r="AAK87" s="87"/>
      <c r="AAL87" s="87"/>
      <c r="AAM87" s="87"/>
      <c r="AAN87" s="87"/>
      <c r="AAO87" s="87"/>
      <c r="AAP87" s="87"/>
      <c r="AAQ87" s="87"/>
      <c r="AAR87" s="87"/>
      <c r="AAS87" s="87"/>
      <c r="AAT87" s="87"/>
      <c r="AAU87" s="87"/>
      <c r="AAV87" s="87"/>
      <c r="AAW87" s="87"/>
      <c r="AAX87" s="87"/>
      <c r="AAY87" s="87"/>
      <c r="AAZ87" s="87"/>
      <c r="ABA87" s="87"/>
      <c r="ABB87" s="87"/>
      <c r="ABC87" s="87"/>
      <c r="ABD87" s="87"/>
      <c r="ABE87" s="87"/>
      <c r="ABF87" s="87"/>
      <c r="ABG87" s="87"/>
      <c r="ABH87" s="87"/>
      <c r="ABI87" s="87"/>
      <c r="ABJ87" s="87"/>
      <c r="ABK87" s="87"/>
      <c r="ABL87" s="87"/>
      <c r="ABM87" s="87"/>
      <c r="ABN87" s="87"/>
      <c r="ABO87" s="87"/>
      <c r="ABP87" s="87"/>
      <c r="ABQ87" s="87"/>
      <c r="ABR87" s="87"/>
      <c r="ABS87" s="87"/>
      <c r="ABT87" s="87"/>
      <c r="ABU87" s="87"/>
      <c r="ABV87" s="87"/>
      <c r="ABW87" s="87"/>
      <c r="ABX87" s="87"/>
      <c r="ABY87" s="87"/>
      <c r="ABZ87" s="87"/>
      <c r="ACA87" s="87"/>
      <c r="ACB87" s="87"/>
      <c r="ACC87" s="87"/>
      <c r="ACD87" s="87"/>
      <c r="ACE87" s="87"/>
      <c r="ACF87" s="87"/>
      <c r="ACG87" s="87"/>
      <c r="ACH87" s="87"/>
      <c r="ACI87" s="87"/>
      <c r="ACJ87" s="87"/>
      <c r="ACK87" s="87"/>
      <c r="ACL87" s="87"/>
      <c r="ACM87" s="87"/>
      <c r="ACN87" s="87"/>
      <c r="ACO87" s="87"/>
      <c r="ACP87" s="87"/>
      <c r="ACQ87" s="87"/>
      <c r="ACR87" s="87"/>
      <c r="ACS87" s="87"/>
      <c r="ACT87" s="87"/>
      <c r="ACU87" s="87"/>
      <c r="ACV87" s="87"/>
      <c r="ACW87" s="87"/>
      <c r="ACX87" s="87"/>
      <c r="ACY87" s="87"/>
      <c r="ACZ87" s="87"/>
      <c r="ADA87" s="87"/>
      <c r="ADB87" s="87"/>
      <c r="ADC87" s="87"/>
      <c r="ADD87" s="87"/>
      <c r="ADE87" s="87"/>
      <c r="ADF87" s="87"/>
      <c r="ADG87" s="87"/>
      <c r="ADH87" s="87"/>
      <c r="ADI87" s="87"/>
      <c r="ADJ87" s="87"/>
      <c r="ADK87" s="87"/>
      <c r="ADL87" s="87"/>
      <c r="ADM87" s="87"/>
      <c r="ADN87" s="87"/>
      <c r="ADO87" s="87"/>
      <c r="ADP87" s="87"/>
      <c r="ADQ87" s="87"/>
      <c r="ADR87" s="87"/>
      <c r="ADS87" s="87"/>
      <c r="ADT87" s="87"/>
      <c r="ADU87" s="87"/>
      <c r="ADV87" s="87"/>
      <c r="ADW87" s="87"/>
      <c r="ADX87" s="87"/>
      <c r="ADY87" s="87"/>
      <c r="ADZ87" s="87"/>
      <c r="AEA87" s="87"/>
      <c r="AEB87" s="87"/>
      <c r="AEC87" s="87"/>
      <c r="AED87" s="87"/>
      <c r="AEE87" s="87"/>
      <c r="AEF87" s="87"/>
      <c r="AEG87" s="87"/>
      <c r="AEH87" s="87"/>
      <c r="AEI87" s="87"/>
      <c r="AEJ87" s="87"/>
      <c r="AEK87" s="87"/>
      <c r="AEL87" s="87"/>
      <c r="AEM87" s="87"/>
      <c r="AEN87" s="87"/>
      <c r="AEO87" s="87"/>
      <c r="AEP87" s="87"/>
      <c r="AEQ87" s="87"/>
      <c r="AER87" s="87"/>
      <c r="AES87" s="87"/>
      <c r="AET87" s="87"/>
      <c r="AEU87" s="87"/>
      <c r="AEV87" s="87"/>
      <c r="AEW87" s="87"/>
      <c r="AEX87" s="87"/>
      <c r="AEY87" s="87"/>
      <c r="AEZ87" s="87"/>
      <c r="AFA87" s="87"/>
      <c r="AFB87" s="87"/>
      <c r="AFC87" s="87"/>
      <c r="AFD87" s="87"/>
      <c r="AFE87" s="87"/>
      <c r="AFF87" s="87"/>
      <c r="AFG87" s="87"/>
      <c r="AFH87" s="87"/>
      <c r="AFI87" s="87"/>
      <c r="AFJ87" s="87"/>
      <c r="AFK87" s="87"/>
      <c r="AFL87" s="87"/>
      <c r="AFM87" s="87"/>
      <c r="AFN87" s="87"/>
      <c r="AFO87" s="87"/>
      <c r="AFP87" s="87"/>
      <c r="AFQ87" s="87"/>
      <c r="AFR87" s="87"/>
      <c r="AFS87" s="87"/>
      <c r="AFT87" s="87"/>
      <c r="AFU87" s="87"/>
      <c r="AFV87" s="87"/>
      <c r="AFW87" s="87"/>
      <c r="AFX87" s="87"/>
      <c r="AFY87" s="87"/>
      <c r="AFZ87" s="87"/>
      <c r="AGA87" s="87"/>
      <c r="AGB87" s="87"/>
      <c r="AGC87" s="87"/>
      <c r="AGD87" s="87"/>
      <c r="AGE87" s="87"/>
      <c r="AGF87" s="87"/>
      <c r="AGG87" s="87"/>
      <c r="AGH87" s="87"/>
      <c r="AGI87" s="87"/>
      <c r="AGJ87" s="87"/>
      <c r="AGK87" s="87"/>
      <c r="AGL87" s="87"/>
      <c r="AGM87" s="87"/>
      <c r="AGN87" s="87"/>
      <c r="AGO87" s="87"/>
      <c r="AGP87" s="87"/>
      <c r="AGQ87" s="87"/>
      <c r="AGR87" s="87"/>
      <c r="AGS87" s="87"/>
      <c r="AGT87" s="87"/>
      <c r="AGU87" s="87"/>
      <c r="AGV87" s="87"/>
      <c r="AGW87" s="87"/>
      <c r="AGX87" s="87"/>
      <c r="AGY87" s="87"/>
      <c r="AGZ87" s="87"/>
      <c r="AHA87" s="87"/>
      <c r="AHB87" s="87"/>
      <c r="AHC87" s="87"/>
      <c r="AHD87" s="87"/>
      <c r="AHE87" s="87"/>
      <c r="AHF87" s="87"/>
      <c r="AHG87" s="87"/>
      <c r="AHH87" s="87"/>
      <c r="AHI87" s="87"/>
      <c r="AHJ87" s="87"/>
      <c r="AHK87" s="87"/>
      <c r="AHL87" s="87"/>
      <c r="AHM87" s="87"/>
      <c r="AHN87" s="87"/>
      <c r="AHO87" s="87"/>
      <c r="AHP87" s="87"/>
      <c r="AHQ87" s="87"/>
      <c r="AHR87" s="87"/>
      <c r="AHS87" s="87"/>
      <c r="AHT87" s="87"/>
      <c r="AHU87" s="87"/>
      <c r="AHV87" s="87"/>
      <c r="AHW87" s="87"/>
      <c r="AHX87" s="87"/>
      <c r="AHY87" s="87"/>
      <c r="AHZ87" s="87"/>
      <c r="AIA87" s="87"/>
      <c r="AIB87" s="87"/>
      <c r="AIC87" s="87"/>
      <c r="AID87" s="87"/>
      <c r="AIE87" s="87"/>
      <c r="AIF87" s="87"/>
      <c r="AIG87" s="87"/>
      <c r="AIH87" s="87"/>
      <c r="AII87" s="87"/>
      <c r="AIJ87" s="87"/>
      <c r="AIK87" s="87"/>
      <c r="AIL87" s="87"/>
      <c r="AIM87" s="87"/>
      <c r="AIN87" s="87"/>
      <c r="AIO87" s="87"/>
      <c r="AIP87" s="87"/>
      <c r="AIQ87" s="87"/>
      <c r="AIR87" s="87"/>
      <c r="AIS87" s="87"/>
      <c r="AIT87" s="87"/>
      <c r="AIU87" s="87"/>
      <c r="AIV87" s="87"/>
      <c r="AIW87" s="87"/>
      <c r="AIX87" s="87"/>
      <c r="AIY87" s="87"/>
      <c r="AIZ87" s="87"/>
      <c r="AJA87" s="87"/>
      <c r="AJB87" s="87"/>
      <c r="AJC87" s="87"/>
      <c r="AJD87" s="87"/>
      <c r="AJE87" s="87"/>
      <c r="AJF87" s="87"/>
      <c r="AJG87" s="87"/>
      <c r="AJH87" s="87"/>
      <c r="AJI87" s="87"/>
      <c r="AJJ87" s="87"/>
      <c r="AJK87" s="87"/>
      <c r="AJL87" s="87"/>
      <c r="AJM87" s="87"/>
      <c r="AJN87" s="87"/>
      <c r="AJO87" s="87"/>
      <c r="AJP87" s="87"/>
      <c r="AJQ87" s="87"/>
      <c r="AJR87" s="87"/>
      <c r="AJS87" s="87"/>
      <c r="AJT87" s="87"/>
      <c r="AJU87" s="87"/>
      <c r="AJV87" s="87"/>
      <c r="AJW87" s="87"/>
      <c r="AJX87" s="87"/>
      <c r="AJY87" s="87"/>
      <c r="AJZ87" s="87"/>
      <c r="AKA87" s="87"/>
      <c r="AKB87" s="87"/>
      <c r="AKC87" s="87"/>
      <c r="AKD87" s="87"/>
      <c r="AKE87" s="87"/>
      <c r="AKF87" s="87"/>
      <c r="AKG87" s="87"/>
      <c r="AKH87" s="87"/>
      <c r="AKI87" s="87"/>
      <c r="AKJ87" s="87"/>
      <c r="AKK87" s="87"/>
      <c r="AKL87" s="87"/>
      <c r="AKM87" s="87"/>
      <c r="AKN87" s="87"/>
      <c r="AKO87" s="87"/>
      <c r="AKP87" s="87"/>
      <c r="AKQ87" s="87"/>
      <c r="AKR87" s="87"/>
      <c r="AKS87" s="87"/>
      <c r="AKT87" s="87"/>
      <c r="AKU87" s="87"/>
      <c r="AKV87" s="87"/>
      <c r="AKW87" s="87"/>
      <c r="AKX87" s="87"/>
      <c r="AKY87" s="87"/>
      <c r="AKZ87" s="87"/>
      <c r="ALA87" s="87"/>
    </row>
    <row r="88" spans="1:989" ht="25.5" customHeight="1" x14ac:dyDescent="0.25"/>
    <row r="90" spans="1:989" s="5" customFormat="1" ht="18" customHeight="1" x14ac:dyDescent="0.25">
      <c r="A90" s="70"/>
      <c r="B90" s="70"/>
      <c r="C90" s="70"/>
      <c r="D90" s="70"/>
      <c r="E90" s="70"/>
      <c r="F90" s="70"/>
      <c r="G90" s="80"/>
      <c r="H90" s="70"/>
      <c r="I90" s="70"/>
    </row>
    <row r="91" spans="1:989" s="3" customFormat="1" ht="22.15" customHeight="1" x14ac:dyDescent="0.2">
      <c r="A91" s="70"/>
      <c r="B91" s="70"/>
      <c r="C91" s="70"/>
      <c r="D91" s="70"/>
      <c r="E91" s="70"/>
      <c r="F91" s="70"/>
      <c r="G91" s="80"/>
      <c r="H91" s="70"/>
      <c r="I91" s="70"/>
      <c r="J91" s="5"/>
      <c r="K91" s="6"/>
      <c r="L91" s="6"/>
      <c r="M91" s="6"/>
      <c r="N91" s="6"/>
      <c r="O91" s="6"/>
      <c r="P91" s="6"/>
      <c r="Q91" s="6"/>
      <c r="R91" s="6"/>
      <c r="S91" s="6"/>
      <c r="T91" s="6"/>
    </row>
    <row r="92" spans="1:989" s="3" customFormat="1" ht="22.15" customHeight="1" x14ac:dyDescent="0.2">
      <c r="A92" s="70"/>
      <c r="B92" s="70"/>
      <c r="C92" s="70"/>
      <c r="D92" s="70"/>
      <c r="E92" s="70"/>
      <c r="F92" s="70"/>
      <c r="G92" s="80"/>
      <c r="H92" s="70"/>
      <c r="I92" s="70"/>
      <c r="J92" s="5"/>
      <c r="K92" s="6"/>
      <c r="L92" s="6"/>
      <c r="M92" s="6"/>
      <c r="N92" s="6"/>
      <c r="O92" s="6"/>
      <c r="P92" s="6"/>
      <c r="Q92" s="6"/>
      <c r="R92" s="6"/>
      <c r="S92" s="6"/>
      <c r="T92" s="6"/>
    </row>
  </sheetData>
  <mergeCells count="36">
    <mergeCell ref="A81:G81"/>
    <mergeCell ref="A82:G82"/>
    <mergeCell ref="A24:F24"/>
    <mergeCell ref="A38:B38"/>
    <mergeCell ref="E38:F38"/>
    <mergeCell ref="A39:B39"/>
    <mergeCell ref="A44:F44"/>
    <mergeCell ref="E39:F39"/>
    <mergeCell ref="A26:B26"/>
    <mergeCell ref="E26:F26"/>
    <mergeCell ref="A27:B27"/>
    <mergeCell ref="A36:F36"/>
    <mergeCell ref="A46:B46"/>
    <mergeCell ref="E46:F46"/>
    <mergeCell ref="A47:B47"/>
    <mergeCell ref="A51:F51"/>
    <mergeCell ref="D5:G8"/>
    <mergeCell ref="A10:G10"/>
    <mergeCell ref="A12:B12"/>
    <mergeCell ref="E12:F12"/>
    <mergeCell ref="A13:B13"/>
    <mergeCell ref="A54:B54"/>
    <mergeCell ref="E54:F54"/>
    <mergeCell ref="A63:F63"/>
    <mergeCell ref="E66:F66"/>
    <mergeCell ref="A53:B53"/>
    <mergeCell ref="E53:F53"/>
    <mergeCell ref="A65:B65"/>
    <mergeCell ref="E65:F65"/>
    <mergeCell ref="A66:B66"/>
    <mergeCell ref="A74:B74"/>
    <mergeCell ref="A79:F79"/>
    <mergeCell ref="E74:F74"/>
    <mergeCell ref="A71:F71"/>
    <mergeCell ref="A73:B73"/>
    <mergeCell ref="E73:F73"/>
  </mergeCells>
  <printOptions horizontalCentered="1"/>
  <pageMargins left="0.23622047244094491" right="0.23622047244094491" top="0.39370078740157483" bottom="0.39370078740157483" header="3.937007874015748E-2" footer="0.31496062992125984"/>
  <pageSetup paperSize="9" scale="52" fitToHeight="0" orientation="portrait" r:id="rId1"/>
  <rowBreaks count="1" manualBreakCount="1">
    <brk id="52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3646E-6B34-4190-BB38-7FFB7D50013B}">
  <sheetPr>
    <pageSetUpPr fitToPage="1"/>
  </sheetPr>
  <dimension ref="A1:ALK40"/>
  <sheetViews>
    <sheetView view="pageBreakPreview" topLeftCell="A23" zoomScale="90" zoomScaleNormal="85" zoomScaleSheetLayoutView="90" workbookViewId="0">
      <selection activeCell="J30" sqref="J30"/>
    </sheetView>
  </sheetViews>
  <sheetFormatPr defaultColWidth="10.28515625" defaultRowHeight="15" x14ac:dyDescent="0.25"/>
  <cols>
    <col min="1" max="1" width="46.7109375" style="108" customWidth="1"/>
    <col min="2" max="2" width="17.42578125" style="110" customWidth="1"/>
    <col min="3" max="3" width="13.140625" style="108" customWidth="1"/>
    <col min="4" max="4" width="19.28515625" style="108" customWidth="1"/>
    <col min="5" max="5" width="11.7109375" style="108" customWidth="1"/>
    <col min="6" max="6" width="21" style="108" customWidth="1"/>
    <col min="7" max="7" width="12.28515625" style="108" customWidth="1"/>
    <col min="8" max="8" width="21" style="108" customWidth="1"/>
    <col min="9" max="9" width="12.28515625" style="108" customWidth="1"/>
    <col min="10" max="10" width="21" style="108" customWidth="1"/>
    <col min="11" max="11" width="12.28515625" style="108" customWidth="1"/>
    <col min="12" max="999" width="11.7109375" style="108" customWidth="1"/>
    <col min="1000" max="16384" width="10.28515625" style="109"/>
  </cols>
  <sheetData>
    <row r="1" spans="1:11" x14ac:dyDescent="0.25">
      <c r="A1" s="223"/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7" spans="1:11" x14ac:dyDescent="0.25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</row>
    <row r="8" spans="1:11" ht="28.15" customHeight="1" x14ac:dyDescent="0.25">
      <c r="A8" s="224" t="s">
        <v>110</v>
      </c>
      <c r="B8" s="225"/>
      <c r="C8" s="225"/>
      <c r="D8" s="225"/>
      <c r="E8" s="225"/>
      <c r="F8" s="225"/>
      <c r="G8" s="225"/>
      <c r="H8" s="225"/>
      <c r="I8" s="225"/>
      <c r="J8" s="225"/>
      <c r="K8" s="226"/>
    </row>
    <row r="10" spans="1:11" s="8" customFormat="1" ht="22.15" customHeight="1" x14ac:dyDescent="0.25">
      <c r="A10" s="233" t="s">
        <v>471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5"/>
    </row>
    <row r="11" spans="1:11" s="8" customFormat="1" ht="22.15" customHeight="1" x14ac:dyDescent="0.25">
      <c r="A11" s="230" t="s">
        <v>10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2"/>
    </row>
    <row r="12" spans="1:11" s="8" customFormat="1" ht="22.15" customHeight="1" x14ac:dyDescent="0.25">
      <c r="A12" s="230" t="s">
        <v>472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2"/>
    </row>
    <row r="13" spans="1:11" s="8" customFormat="1" ht="22.15" customHeight="1" x14ac:dyDescent="0.25">
      <c r="A13" s="227" t="s">
        <v>470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9"/>
    </row>
    <row r="15" spans="1:11" x14ac:dyDescent="0.25">
      <c r="A15" s="236" t="s">
        <v>111</v>
      </c>
      <c r="B15" s="240" t="s">
        <v>112</v>
      </c>
      <c r="C15" s="236" t="s">
        <v>113</v>
      </c>
      <c r="D15" s="236" t="s">
        <v>114</v>
      </c>
      <c r="E15" s="236"/>
      <c r="F15" s="238" t="s">
        <v>115</v>
      </c>
      <c r="G15" s="239"/>
      <c r="H15" s="236" t="s">
        <v>144</v>
      </c>
      <c r="I15" s="236"/>
      <c r="J15" s="236" t="s">
        <v>145</v>
      </c>
      <c r="K15" s="236"/>
    </row>
    <row r="16" spans="1:11" x14ac:dyDescent="0.25">
      <c r="A16" s="236"/>
      <c r="B16" s="240"/>
      <c r="C16" s="236"/>
      <c r="D16" s="111" t="s">
        <v>116</v>
      </c>
      <c r="E16" s="111" t="s">
        <v>113</v>
      </c>
      <c r="F16" s="111" t="s">
        <v>116</v>
      </c>
      <c r="G16" s="111" t="s">
        <v>113</v>
      </c>
      <c r="H16" s="111" t="s">
        <v>116</v>
      </c>
      <c r="I16" s="111" t="s">
        <v>113</v>
      </c>
      <c r="J16" s="111" t="s">
        <v>116</v>
      </c>
      <c r="K16" s="111" t="s">
        <v>113</v>
      </c>
    </row>
    <row r="17" spans="1:11" x14ac:dyDescent="0.25">
      <c r="A17" s="112" t="str">
        <f>ORÇAMENTO!A16</f>
        <v>1. SERVIÇOS PRELIMINARES</v>
      </c>
      <c r="B17" s="113">
        <f>ORÇAMENTO!I22</f>
        <v>7449.94</v>
      </c>
      <c r="C17" s="114">
        <f>ROUND((B17/$B$26)*100,2)</f>
        <v>1.36</v>
      </c>
      <c r="D17" s="115">
        <f>ROUND((E17/100)*$B17,2)</f>
        <v>5214.96</v>
      </c>
      <c r="E17" s="116">
        <v>70</v>
      </c>
      <c r="F17" s="115">
        <f>ROUND((G17/100)*$B17,2)</f>
        <v>2234.98</v>
      </c>
      <c r="G17" s="116">
        <v>30</v>
      </c>
      <c r="H17" s="115">
        <f>ROUND((I17/100)*$B17,2)</f>
        <v>0</v>
      </c>
      <c r="I17" s="116">
        <v>0</v>
      </c>
      <c r="J17" s="115">
        <f>ROUND((K17/100)*$B17,2)</f>
        <v>0</v>
      </c>
      <c r="K17" s="116">
        <v>0</v>
      </c>
    </row>
    <row r="18" spans="1:11" x14ac:dyDescent="0.25">
      <c r="A18" s="112" t="str">
        <f>ORÇAMENTO!A24</f>
        <v>2. FUNDAÇÃO E PISO DE CONCRETO</v>
      </c>
      <c r="B18" s="113">
        <f>ORÇAMENTO!I45</f>
        <v>84533.62999999999</v>
      </c>
      <c r="C18" s="114">
        <f t="shared" ref="C18:C25" si="0">ROUND((B18/$B$26)*100,2)</f>
        <v>15.47</v>
      </c>
      <c r="D18" s="115">
        <f t="shared" ref="D18:D25" si="1">ROUND((E18/100)*$B18,2)</f>
        <v>16906.73</v>
      </c>
      <c r="E18" s="116">
        <v>20</v>
      </c>
      <c r="F18" s="115">
        <f t="shared" ref="F18:F23" si="2">ROUND((G18/100)*$B18,2)</f>
        <v>33813.449999999997</v>
      </c>
      <c r="G18" s="116">
        <v>40</v>
      </c>
      <c r="H18" s="115">
        <f t="shared" ref="H18:H25" si="3">ROUND((I18/100)*$B18,2)</f>
        <v>33813.449999999997</v>
      </c>
      <c r="I18" s="116">
        <v>40</v>
      </c>
      <c r="J18" s="115">
        <f t="shared" ref="J18:J25" si="4">ROUND((K18/100)*$B18,2)</f>
        <v>0</v>
      </c>
      <c r="K18" s="116">
        <v>0</v>
      </c>
    </row>
    <row r="19" spans="1:11" x14ac:dyDescent="0.25">
      <c r="A19" s="112" t="str">
        <f>ORÇAMENTO!A47</f>
        <v>3. ESTRUTURAS</v>
      </c>
      <c r="B19" s="113">
        <f>ORÇAMENTO!I72</f>
        <v>268079.75</v>
      </c>
      <c r="C19" s="114">
        <f t="shared" si="0"/>
        <v>49.05</v>
      </c>
      <c r="D19" s="115">
        <f t="shared" si="1"/>
        <v>26807.98</v>
      </c>
      <c r="E19" s="116">
        <v>10</v>
      </c>
      <c r="F19" s="115">
        <f t="shared" si="2"/>
        <v>80423.929999999993</v>
      </c>
      <c r="G19" s="116">
        <v>30</v>
      </c>
      <c r="H19" s="115">
        <f>ROUND((I19/100)*$B19,2)-0.01</f>
        <v>107231.89</v>
      </c>
      <c r="I19" s="116">
        <v>40</v>
      </c>
      <c r="J19" s="115">
        <f>ROUND((K19/100)*$B19,2)</f>
        <v>53615.95</v>
      </c>
      <c r="K19" s="116">
        <v>20</v>
      </c>
    </row>
    <row r="20" spans="1:11" x14ac:dyDescent="0.25">
      <c r="A20" s="112" t="str">
        <f>ORÇAMENTO!A74</f>
        <v>4. REVESTIMENTOS</v>
      </c>
      <c r="B20" s="113">
        <f>ORÇAMENTO!I79</f>
        <v>5574.32</v>
      </c>
      <c r="C20" s="114">
        <f t="shared" si="0"/>
        <v>1.02</v>
      </c>
      <c r="D20" s="115">
        <f t="shared" si="1"/>
        <v>0</v>
      </c>
      <c r="E20" s="116">
        <v>0</v>
      </c>
      <c r="F20" s="115">
        <f t="shared" si="2"/>
        <v>557.42999999999995</v>
      </c>
      <c r="G20" s="116">
        <v>10</v>
      </c>
      <c r="H20" s="115">
        <f t="shared" si="3"/>
        <v>1672.3</v>
      </c>
      <c r="I20" s="116">
        <v>30</v>
      </c>
      <c r="J20" s="115">
        <f t="shared" si="4"/>
        <v>3344.59</v>
      </c>
      <c r="K20" s="116">
        <v>60</v>
      </c>
    </row>
    <row r="21" spans="1:11" x14ac:dyDescent="0.25">
      <c r="A21" s="112" t="str">
        <f>ORÇAMENTO!A81</f>
        <v>5. ESQUADRIAS</v>
      </c>
      <c r="B21" s="113">
        <f>ORÇAMENTO!I90</f>
        <v>46382.320000000007</v>
      </c>
      <c r="C21" s="114">
        <f t="shared" si="0"/>
        <v>8.49</v>
      </c>
      <c r="D21" s="115">
        <f t="shared" si="1"/>
        <v>0</v>
      </c>
      <c r="E21" s="116">
        <v>0</v>
      </c>
      <c r="F21" s="115">
        <f t="shared" si="2"/>
        <v>0</v>
      </c>
      <c r="G21" s="116">
        <v>0</v>
      </c>
      <c r="H21" s="115">
        <f t="shared" si="3"/>
        <v>9276.4599999999991</v>
      </c>
      <c r="I21" s="116">
        <v>20</v>
      </c>
      <c r="J21" s="115">
        <f t="shared" si="4"/>
        <v>37105.86</v>
      </c>
      <c r="K21" s="116">
        <v>80</v>
      </c>
    </row>
    <row r="22" spans="1:11" x14ac:dyDescent="0.25">
      <c r="A22" s="117" t="str">
        <f>ORÇAMENTO!A92</f>
        <v>6. REVESTIMENTOS CERÂMICOS E PINTURA</v>
      </c>
      <c r="B22" s="118">
        <f>ORÇAMENTO!I104</f>
        <v>30053.62</v>
      </c>
      <c r="C22" s="114">
        <f t="shared" si="0"/>
        <v>5.5</v>
      </c>
      <c r="D22" s="115">
        <f t="shared" si="1"/>
        <v>0</v>
      </c>
      <c r="E22" s="116">
        <v>0</v>
      </c>
      <c r="F22" s="115">
        <f t="shared" si="2"/>
        <v>0</v>
      </c>
      <c r="G22" s="116">
        <v>0</v>
      </c>
      <c r="H22" s="115">
        <f t="shared" si="3"/>
        <v>12021.45</v>
      </c>
      <c r="I22" s="116">
        <v>40</v>
      </c>
      <c r="J22" s="115">
        <f t="shared" si="4"/>
        <v>18032.169999999998</v>
      </c>
      <c r="K22" s="116">
        <v>60</v>
      </c>
    </row>
    <row r="23" spans="1:11" s="108" customFormat="1" ht="12.75" x14ac:dyDescent="0.2">
      <c r="A23" s="117" t="str">
        <f>ORÇAMENTO!A106</f>
        <v>7. INSTALAÇÕES ELÉTRICAS, HIDRÁULICAS E DRENAGEM PLUVIAL</v>
      </c>
      <c r="B23" s="118">
        <f>ORÇAMENTO!I159</f>
        <v>86339.959999999992</v>
      </c>
      <c r="C23" s="114">
        <f t="shared" si="0"/>
        <v>15.8</v>
      </c>
      <c r="D23" s="115">
        <f t="shared" si="1"/>
        <v>0</v>
      </c>
      <c r="E23" s="116">
        <v>0</v>
      </c>
      <c r="F23" s="115">
        <f t="shared" si="2"/>
        <v>17267.990000000002</v>
      </c>
      <c r="G23" s="116">
        <v>20</v>
      </c>
      <c r="H23" s="115">
        <f t="shared" si="3"/>
        <v>25901.99</v>
      </c>
      <c r="I23" s="116">
        <v>30</v>
      </c>
      <c r="J23" s="115">
        <f>ROUND((K23/100)*$B23,2)</f>
        <v>43169.98</v>
      </c>
      <c r="K23" s="116">
        <v>50</v>
      </c>
    </row>
    <row r="24" spans="1:11" s="108" customFormat="1" ht="12.75" x14ac:dyDescent="0.2">
      <c r="A24" s="117" t="str">
        <f>ORÇAMENTO!A161</f>
        <v>8. LOUÇAS, METAIS E ACESSÓRIOS</v>
      </c>
      <c r="B24" s="118">
        <f>ORÇAMENTO!I176</f>
        <v>13284.84</v>
      </c>
      <c r="C24" s="114">
        <f t="shared" si="0"/>
        <v>2.4300000000000002</v>
      </c>
      <c r="D24" s="115">
        <f t="shared" si="1"/>
        <v>0</v>
      </c>
      <c r="E24" s="116">
        <v>0</v>
      </c>
      <c r="F24" s="115">
        <f t="shared" ref="F24:F25" si="5">ROUND((G24/100)*$B24,2)</f>
        <v>0</v>
      </c>
      <c r="G24" s="116">
        <v>0</v>
      </c>
      <c r="H24" s="115">
        <f t="shared" si="3"/>
        <v>2656.97</v>
      </c>
      <c r="I24" s="116">
        <v>20</v>
      </c>
      <c r="J24" s="115">
        <f t="shared" si="4"/>
        <v>10627.87</v>
      </c>
      <c r="K24" s="116">
        <v>80</v>
      </c>
    </row>
    <row r="25" spans="1:11" s="108" customFormat="1" ht="12.75" x14ac:dyDescent="0.2">
      <c r="A25" s="117" t="str">
        <f>ORÇAMENTO!A178</f>
        <v>9. SERVIÇOS COMPLEMENTARES</v>
      </c>
      <c r="B25" s="118">
        <f>ORÇAMENTO!I181</f>
        <v>4812.68</v>
      </c>
      <c r="C25" s="114">
        <f t="shared" si="0"/>
        <v>0.88</v>
      </c>
      <c r="D25" s="115">
        <f t="shared" si="1"/>
        <v>0</v>
      </c>
      <c r="E25" s="116">
        <v>0</v>
      </c>
      <c r="F25" s="115">
        <f t="shared" si="5"/>
        <v>0</v>
      </c>
      <c r="G25" s="116">
        <v>0</v>
      </c>
      <c r="H25" s="115">
        <f t="shared" si="3"/>
        <v>0</v>
      </c>
      <c r="I25" s="116">
        <v>0</v>
      </c>
      <c r="J25" s="115">
        <f t="shared" si="4"/>
        <v>4812.68</v>
      </c>
      <c r="K25" s="116">
        <v>100</v>
      </c>
    </row>
    <row r="26" spans="1:11" s="108" customFormat="1" ht="18" customHeight="1" x14ac:dyDescent="0.2">
      <c r="A26" s="119" t="s">
        <v>7</v>
      </c>
      <c r="B26" s="120">
        <f>SUM(B17:B25)</f>
        <v>546511.06000000006</v>
      </c>
      <c r="C26" s="133">
        <f>((SUM(C17:C25))/100)</f>
        <v>0.99999999999999989</v>
      </c>
      <c r="D26" s="120">
        <f>SUM(D17:D25)</f>
        <v>48929.67</v>
      </c>
      <c r="E26" s="121">
        <f>ROUND(SUM(D17:D25)/B26,4)</f>
        <v>8.9499999999999996E-2</v>
      </c>
      <c r="F26" s="134">
        <f t="shared" ref="F26" si="6">SUM(F17:F25)</f>
        <v>134297.77999999997</v>
      </c>
      <c r="G26" s="121">
        <f>ROUND(SUM(F17:F25)/B26,4)</f>
        <v>0.2457</v>
      </c>
      <c r="H26" s="134">
        <f t="shared" ref="H26" si="7">SUM(H17:H25)</f>
        <v>192574.50999999998</v>
      </c>
      <c r="I26" s="121">
        <f>ROUND(SUM(H17:H25)/B26,4)</f>
        <v>0.35239999999999999</v>
      </c>
      <c r="J26" s="134">
        <f t="shared" ref="J26" si="8">SUM(J17:J25)</f>
        <v>170709.09999999998</v>
      </c>
      <c r="K26" s="121">
        <f>ROUND(SUM(J17:J25)/B26,4)</f>
        <v>0.31240000000000001</v>
      </c>
    </row>
    <row r="27" spans="1:11" s="122" customFormat="1" ht="9.7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</row>
    <row r="28" spans="1:11" s="122" customFormat="1" ht="9.75" customHeight="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s="108" customFormat="1" ht="12.75" x14ac:dyDescent="0.2">
      <c r="A29" s="237" t="s">
        <v>117</v>
      </c>
      <c r="B29" s="237"/>
      <c r="C29" s="237"/>
      <c r="D29" s="236" t="s">
        <v>114</v>
      </c>
      <c r="E29" s="236"/>
      <c r="F29" s="238" t="s">
        <v>115</v>
      </c>
      <c r="G29" s="239"/>
      <c r="H29" s="238" t="s">
        <v>144</v>
      </c>
      <c r="I29" s="239"/>
      <c r="J29" s="236" t="s">
        <v>145</v>
      </c>
      <c r="K29" s="236"/>
    </row>
    <row r="30" spans="1:11" s="108" customFormat="1" ht="20.25" customHeight="1" x14ac:dyDescent="0.2">
      <c r="A30" s="237"/>
      <c r="B30" s="237"/>
      <c r="C30" s="237"/>
      <c r="D30" s="123">
        <f>D26</f>
        <v>48929.67</v>
      </c>
      <c r="E30" s="124">
        <f>E26</f>
        <v>8.9499999999999996E-2</v>
      </c>
      <c r="F30" s="135">
        <f t="shared" ref="F30:K30" si="9">D30+F26</f>
        <v>183227.44999999995</v>
      </c>
      <c r="G30" s="124">
        <f t="shared" si="9"/>
        <v>0.3352</v>
      </c>
      <c r="H30" s="135">
        <f t="shared" si="9"/>
        <v>375801.95999999996</v>
      </c>
      <c r="I30" s="124">
        <f t="shared" si="9"/>
        <v>0.68759999999999999</v>
      </c>
      <c r="J30" s="135">
        <f t="shared" si="9"/>
        <v>546511.05999999994</v>
      </c>
      <c r="K30" s="124">
        <f t="shared" si="9"/>
        <v>1</v>
      </c>
    </row>
    <row r="31" spans="1:11" s="108" customFormat="1" ht="12.75" x14ac:dyDescent="0.2">
      <c r="B31" s="110"/>
    </row>
    <row r="33" spans="1:21" s="3" customFormat="1" ht="22.15" customHeight="1" x14ac:dyDescent="0.2">
      <c r="A33" s="218" t="s">
        <v>469</v>
      </c>
      <c r="B33" s="218"/>
      <c r="C33" s="218"/>
      <c r="D33" s="218"/>
      <c r="E33" s="218"/>
      <c r="F33" s="218"/>
      <c r="G33" s="218"/>
      <c r="H33" s="218"/>
      <c r="I33" s="218"/>
      <c r="J33" s="218"/>
      <c r="K33" s="218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1" s="3" customFormat="1" ht="22.15" customHeight="1" x14ac:dyDescent="0.2">
      <c r="A34" s="219" t="s">
        <v>84</v>
      </c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1" s="3" customFormat="1" ht="22.15" customHeight="1" x14ac:dyDescent="0.2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1" s="3" customFormat="1" ht="22.15" customHeight="1" x14ac:dyDescent="0.2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1" s="3" customFormat="1" ht="22.1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1" s="3" customFormat="1" ht="22.15" customHeight="1" x14ac:dyDescent="0.2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6"/>
      <c r="M38" s="6"/>
      <c r="N38" s="6"/>
      <c r="O38" s="6"/>
      <c r="P38" s="6"/>
      <c r="Q38" s="6"/>
      <c r="R38" s="6"/>
      <c r="S38" s="6"/>
      <c r="T38" s="6"/>
      <c r="U38" s="6"/>
    </row>
    <row r="40" spans="1:21" s="108" customFormat="1" ht="12.75" x14ac:dyDescent="0.2">
      <c r="A40" s="125"/>
      <c r="B40" s="125"/>
      <c r="C40" s="126"/>
    </row>
  </sheetData>
  <mergeCells count="21">
    <mergeCell ref="C15:C16"/>
    <mergeCell ref="D15:E15"/>
    <mergeCell ref="F15:G15"/>
    <mergeCell ref="H15:I15"/>
    <mergeCell ref="A7:K7"/>
    <mergeCell ref="A1:K1"/>
    <mergeCell ref="A33:K33"/>
    <mergeCell ref="A34:K34"/>
    <mergeCell ref="A8:K8"/>
    <mergeCell ref="A13:K13"/>
    <mergeCell ref="A12:K12"/>
    <mergeCell ref="A11:K11"/>
    <mergeCell ref="A10:K10"/>
    <mergeCell ref="J15:K15"/>
    <mergeCell ref="A29:C30"/>
    <mergeCell ref="D29:E29"/>
    <mergeCell ref="F29:G29"/>
    <mergeCell ref="H29:I29"/>
    <mergeCell ref="J29:K29"/>
    <mergeCell ref="A15:A16"/>
    <mergeCell ref="B15:B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firstPageNumber="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Composição</vt:lpstr>
      <vt:lpstr>CRONOGRAMA</vt:lpstr>
      <vt:lpstr>Composição!Area_de_impressao</vt:lpstr>
      <vt:lpstr>CRONOGRAMA!Area_de_impressao</vt:lpstr>
      <vt:lpstr>ORÇAMENTO!Area_de_impressao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PMB</dc:creator>
  <cp:lastModifiedBy>PMB</cp:lastModifiedBy>
  <cp:lastPrinted>2024-02-27T19:08:23Z</cp:lastPrinted>
  <dcterms:created xsi:type="dcterms:W3CDTF">2023-05-10T12:37:40Z</dcterms:created>
  <dcterms:modified xsi:type="dcterms:W3CDTF">2024-02-28T12:35:39Z</dcterms:modified>
</cp:coreProperties>
</file>