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0" yWindow="0" windowWidth="20400" windowHeight="7755" activeTab="3"/>
  </bookViews>
  <sheets>
    <sheet name="Calculo" sheetId="8" r:id="rId1"/>
    <sheet name="Planilha" sheetId="5" r:id="rId2"/>
    <sheet name="Memorial" sheetId="9" r:id="rId3"/>
    <sheet name="Composições" sheetId="10" r:id="rId4"/>
    <sheet name="Cronograma" sheetId="11" r:id="rId5"/>
  </sheets>
  <definedNames>
    <definedName name="_xlnm._FilterDatabase" localSheetId="2" hidden="1">Memorial!#REF!</definedName>
    <definedName name="_xlnm._FilterDatabase" localSheetId="1" hidden="1">Planilha!#REF!</definedName>
    <definedName name="_xlnm.Print_Area" localSheetId="2">Memorial!$A$1:$H$522</definedName>
    <definedName name="_xlnm.Print_Area" localSheetId="1">Planilha!$A$1:$I$207</definedName>
    <definedName name="_xlnm.Print_Titles" localSheetId="2">Memorial!$6:$10</definedName>
    <definedName name="_xlnm.Print_Titles" localSheetId="1">Planilha!$6:$11</definedName>
  </definedNames>
  <calcPr calcId="144525"/>
</workbook>
</file>

<file path=xl/calcChain.xml><?xml version="1.0" encoding="utf-8"?>
<calcChain xmlns="http://schemas.openxmlformats.org/spreadsheetml/2006/main">
  <c r="H143" i="5" l="1"/>
  <c r="I143" i="5" s="1"/>
  <c r="H142" i="5"/>
  <c r="I142" i="5" s="1"/>
  <c r="G45" i="11" l="1"/>
  <c r="G46" i="11" s="1"/>
  <c r="I69" i="5" l="1"/>
  <c r="G69" i="5"/>
  <c r="G60" i="5" l="1"/>
  <c r="G148" i="5"/>
  <c r="H148" i="5" s="1"/>
  <c r="I148" i="5" s="1"/>
  <c r="D148" i="5"/>
  <c r="B148" i="5"/>
  <c r="G147" i="5"/>
  <c r="H147" i="5" s="1"/>
  <c r="I147" i="5" s="1"/>
  <c r="D147" i="5"/>
  <c r="B147" i="5"/>
  <c r="G146" i="5"/>
  <c r="H146" i="5" s="1"/>
  <c r="I146" i="5" s="1"/>
  <c r="D146" i="5"/>
  <c r="B146" i="5"/>
  <c r="G145" i="5"/>
  <c r="H145" i="5" s="1"/>
  <c r="I145" i="5" s="1"/>
  <c r="D145" i="5"/>
  <c r="B145" i="5"/>
  <c r="G176" i="10"/>
  <c r="G175" i="10"/>
  <c r="G174" i="10"/>
  <c r="G172" i="10" s="1"/>
  <c r="G168" i="10"/>
  <c r="G167" i="10"/>
  <c r="G166" i="10"/>
  <c r="G164" i="10" s="1"/>
  <c r="G160" i="10"/>
  <c r="G159" i="10"/>
  <c r="G158" i="10"/>
  <c r="G156" i="10" s="1"/>
  <c r="G152" i="10"/>
  <c r="G151" i="10"/>
  <c r="G150" i="10"/>
  <c r="G148" i="10"/>
  <c r="G132" i="5"/>
  <c r="H132" i="5" s="1"/>
  <c r="D132" i="5"/>
  <c r="B132" i="5"/>
  <c r="G144" i="10"/>
  <c r="G143" i="10"/>
  <c r="G142" i="10"/>
  <c r="G140" i="10" s="1"/>
  <c r="D131" i="5"/>
  <c r="B131" i="5"/>
  <c r="D130" i="5"/>
  <c r="B130" i="5"/>
  <c r="D129" i="5"/>
  <c r="B129" i="5"/>
  <c r="D128" i="5"/>
  <c r="B128" i="5"/>
  <c r="D127" i="5"/>
  <c r="B127" i="5"/>
  <c r="D126" i="5"/>
  <c r="B126" i="5"/>
  <c r="G136" i="10"/>
  <c r="G135" i="10"/>
  <c r="G134" i="10"/>
  <c r="G133" i="10"/>
  <c r="G132" i="10"/>
  <c r="G131" i="10"/>
  <c r="G125" i="10"/>
  <c r="G124" i="10"/>
  <c r="G123" i="10"/>
  <c r="G122" i="10"/>
  <c r="G121" i="10"/>
  <c r="G120" i="10"/>
  <c r="G118" i="10" s="1"/>
  <c r="G130" i="5" s="1"/>
  <c r="H130" i="5" s="1"/>
  <c r="I130" i="5" s="1"/>
  <c r="G114" i="10"/>
  <c r="G113" i="10"/>
  <c r="G112" i="10"/>
  <c r="G111" i="10"/>
  <c r="G110" i="10"/>
  <c r="G109" i="10"/>
  <c r="C109" i="10"/>
  <c r="G103" i="10"/>
  <c r="G102" i="10"/>
  <c r="G101" i="10"/>
  <c r="G100" i="10"/>
  <c r="G99" i="10"/>
  <c r="G98" i="10"/>
  <c r="C98" i="10"/>
  <c r="G92" i="10"/>
  <c r="G91" i="10"/>
  <c r="G90" i="10"/>
  <c r="G89" i="10"/>
  <c r="G88" i="10"/>
  <c r="G87" i="10"/>
  <c r="C87" i="10"/>
  <c r="C76" i="10"/>
  <c r="G81" i="10"/>
  <c r="G80" i="10"/>
  <c r="G79" i="10"/>
  <c r="G78" i="10"/>
  <c r="G77" i="10"/>
  <c r="G76" i="10"/>
  <c r="G107" i="10" l="1"/>
  <c r="G129" i="5" s="1"/>
  <c r="H129" i="5" s="1"/>
  <c r="I129" i="5" s="1"/>
  <c r="G129" i="10"/>
  <c r="G131" i="5" s="1"/>
  <c r="H131" i="5" s="1"/>
  <c r="I131" i="5" s="1"/>
  <c r="G74" i="10"/>
  <c r="G126" i="5" s="1"/>
  <c r="H126" i="5" s="1"/>
  <c r="I126" i="5" s="1"/>
  <c r="G85" i="10"/>
  <c r="G127" i="5" s="1"/>
  <c r="H127" i="5" s="1"/>
  <c r="I127" i="5" s="1"/>
  <c r="G96" i="10"/>
  <c r="G128" i="5" s="1"/>
  <c r="H128" i="5" s="1"/>
  <c r="I128" i="5" s="1"/>
  <c r="H125" i="5" l="1"/>
  <c r="I125" i="5" s="1"/>
  <c r="H124" i="5"/>
  <c r="I124" i="5" s="1"/>
  <c r="H123" i="5"/>
  <c r="I123" i="5" s="1"/>
  <c r="H122" i="5"/>
  <c r="I122" i="5" s="1"/>
  <c r="D184" i="5"/>
  <c r="B184" i="5"/>
  <c r="G70" i="10"/>
  <c r="G69" i="10"/>
  <c r="C53" i="10"/>
  <c r="C45" i="10"/>
  <c r="C61" i="10"/>
  <c r="D179" i="5"/>
  <c r="G21" i="10"/>
  <c r="D181" i="5" l="1"/>
  <c r="B181" i="5"/>
  <c r="D180" i="5"/>
  <c r="B180" i="5"/>
  <c r="G63" i="10"/>
  <c r="G62" i="10"/>
  <c r="G61" i="10"/>
  <c r="B179" i="5"/>
  <c r="D178" i="5"/>
  <c r="B177" i="5"/>
  <c r="D177" i="5"/>
  <c r="D176" i="5"/>
  <c r="H182" i="5"/>
  <c r="I182" i="5" s="1"/>
  <c r="H183" i="5"/>
  <c r="I183" i="5" s="1"/>
  <c r="B176" i="5"/>
  <c r="G23" i="10"/>
  <c r="G22" i="10"/>
  <c r="G19" i="10" s="1"/>
  <c r="G177" i="5" s="1"/>
  <c r="H177" i="5" s="1"/>
  <c r="I177" i="5" s="1"/>
  <c r="H144" i="5" l="1"/>
  <c r="I144" i="5" s="1"/>
  <c r="H141" i="5"/>
  <c r="I141" i="5" s="1"/>
  <c r="H140" i="5"/>
  <c r="I140" i="5" s="1"/>
  <c r="H139" i="5"/>
  <c r="H138" i="5"/>
  <c r="H137" i="5"/>
  <c r="H136" i="5"/>
  <c r="H135" i="5"/>
  <c r="G134" i="5"/>
  <c r="H121" i="5"/>
  <c r="I121" i="5" s="1"/>
  <c r="H120" i="5"/>
  <c r="I120" i="5" s="1"/>
  <c r="H119" i="5"/>
  <c r="I119" i="5" s="1"/>
  <c r="H118" i="5"/>
  <c r="I118" i="5" s="1"/>
  <c r="H117" i="5"/>
  <c r="I117" i="5" s="1"/>
  <c r="H116" i="5"/>
  <c r="I116" i="5" s="1"/>
  <c r="H115" i="5"/>
  <c r="I115" i="5" s="1"/>
  <c r="H114" i="5"/>
  <c r="I114" i="5" s="1"/>
  <c r="H113" i="5"/>
  <c r="I113" i="5" s="1"/>
  <c r="H112" i="5"/>
  <c r="I112" i="5" s="1"/>
  <c r="H111" i="5"/>
  <c r="I111" i="5" s="1"/>
  <c r="H110" i="5"/>
  <c r="I110" i="5" s="1"/>
  <c r="H109" i="5"/>
  <c r="I109" i="5" s="1"/>
  <c r="H108" i="5"/>
  <c r="I108" i="5" s="1"/>
  <c r="G107" i="5"/>
  <c r="H106" i="5"/>
  <c r="H105" i="5"/>
  <c r="H104" i="5"/>
  <c r="H103" i="5"/>
  <c r="H102" i="5"/>
  <c r="I175" i="5"/>
  <c r="G175" i="5"/>
  <c r="H174" i="5"/>
  <c r="I174" i="5" s="1"/>
  <c r="H173" i="5"/>
  <c r="I173" i="5" s="1"/>
  <c r="H172" i="5"/>
  <c r="I172" i="5" s="1"/>
  <c r="H171" i="5"/>
  <c r="I171" i="5" s="1"/>
  <c r="H170" i="5"/>
  <c r="I170" i="5" s="1"/>
  <c r="H169" i="5"/>
  <c r="I169" i="5" s="1"/>
  <c r="H168" i="5"/>
  <c r="I168" i="5" s="1"/>
  <c r="I167" i="5"/>
  <c r="G167" i="5"/>
  <c r="H166" i="5"/>
  <c r="I166" i="5" s="1"/>
  <c r="H164" i="5"/>
  <c r="I164" i="5" s="1"/>
  <c r="H163" i="5"/>
  <c r="I163" i="5" s="1"/>
  <c r="I162" i="5"/>
  <c r="G162" i="5"/>
  <c r="I161" i="5"/>
  <c r="G161" i="5"/>
  <c r="I160" i="5"/>
  <c r="G160" i="5"/>
  <c r="H159" i="5"/>
  <c r="I159" i="5" s="1"/>
  <c r="H158" i="5"/>
  <c r="I158" i="5" s="1"/>
  <c r="H157" i="5"/>
  <c r="I157" i="5" s="1"/>
  <c r="H156" i="5"/>
  <c r="I156" i="5" s="1"/>
  <c r="I92" i="5" l="1"/>
  <c r="G92" i="5"/>
  <c r="I91" i="5" l="1"/>
  <c r="B24" i="11"/>
  <c r="B45" i="11" s="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I81" i="5"/>
  <c r="G81" i="5"/>
  <c r="I78" i="5"/>
  <c r="I99" i="5"/>
  <c r="I97" i="5"/>
  <c r="G99" i="5"/>
  <c r="G78" i="5"/>
  <c r="I79" i="5"/>
  <c r="I80" i="5" l="1"/>
  <c r="C16" i="11" s="1"/>
  <c r="H154" i="5"/>
  <c r="G151" i="5"/>
  <c r="G33" i="11" l="1"/>
  <c r="G31" i="11"/>
  <c r="G32" i="11"/>
  <c r="G34" i="11"/>
  <c r="G35" i="11"/>
  <c r="G36" i="11"/>
  <c r="G37" i="11"/>
  <c r="G38" i="11"/>
  <c r="G39" i="11"/>
  <c r="G40" i="11"/>
  <c r="G41" i="11"/>
  <c r="G42" i="11"/>
  <c r="G43" i="11"/>
  <c r="G44" i="11"/>
  <c r="G30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G53" i="10" l="1"/>
  <c r="G55" i="10"/>
  <c r="G54" i="10"/>
  <c r="G67" i="10"/>
  <c r="G184" i="5" s="1"/>
  <c r="H184" i="5" s="1"/>
  <c r="I184" i="5" s="1"/>
  <c r="G59" i="10"/>
  <c r="G181" i="5" s="1"/>
  <c r="H181" i="5" s="1"/>
  <c r="I181" i="5" s="1"/>
  <c r="G47" i="10"/>
  <c r="G46" i="10"/>
  <c r="G45" i="10"/>
  <c r="G37" i="10"/>
  <c r="G39" i="10"/>
  <c r="G38" i="10"/>
  <c r="G31" i="10"/>
  <c r="G30" i="10"/>
  <c r="G29" i="10"/>
  <c r="G14" i="10"/>
  <c r="G15" i="10"/>
  <c r="G13" i="10"/>
  <c r="G188" i="5"/>
  <c r="G190" i="5"/>
  <c r="G187" i="5"/>
  <c r="G97" i="5"/>
  <c r="G96" i="5"/>
  <c r="G94" i="5"/>
  <c r="G91" i="5"/>
  <c r="G90" i="5"/>
  <c r="G87" i="5"/>
  <c r="G84" i="5"/>
  <c r="G85" i="5"/>
  <c r="G83" i="5"/>
  <c r="G74" i="5"/>
  <c r="G75" i="5"/>
  <c r="G76" i="5"/>
  <c r="G77" i="5"/>
  <c r="G79" i="5"/>
  <c r="G73" i="5"/>
  <c r="G71" i="5"/>
  <c r="G70" i="5"/>
  <c r="G67" i="5"/>
  <c r="G66" i="5"/>
  <c r="G64" i="5"/>
  <c r="G63" i="5"/>
  <c r="G59" i="5"/>
  <c r="G58" i="5"/>
  <c r="G52" i="5"/>
  <c r="G48" i="5"/>
  <c r="G49" i="5"/>
  <c r="G50" i="5"/>
  <c r="G47" i="5"/>
  <c r="G43" i="5"/>
  <c r="G44" i="5"/>
  <c r="G45" i="5"/>
  <c r="G42" i="5"/>
  <c r="G39" i="5"/>
  <c r="G38" i="5"/>
  <c r="G31" i="5"/>
  <c r="G32" i="5"/>
  <c r="G33" i="5"/>
  <c r="G34" i="5"/>
  <c r="G35" i="5"/>
  <c r="G36" i="5"/>
  <c r="G30" i="5"/>
  <c r="G28" i="5"/>
  <c r="G26" i="5"/>
  <c r="G17" i="5"/>
  <c r="I16" i="5"/>
  <c r="G16" i="5"/>
  <c r="G43" i="10" l="1"/>
  <c r="G179" i="5" s="1"/>
  <c r="H179" i="5" s="1"/>
  <c r="I179" i="5" s="1"/>
  <c r="G51" i="10"/>
  <c r="G180" i="5" s="1"/>
  <c r="H180" i="5" s="1"/>
  <c r="I180" i="5" s="1"/>
  <c r="G27" i="10"/>
  <c r="G11" i="10"/>
  <c r="G35" i="10"/>
  <c r="G178" i="5" s="1"/>
  <c r="H178" i="5" s="1"/>
  <c r="I178" i="5" s="1"/>
  <c r="G165" i="5" l="1"/>
  <c r="H165" i="5" s="1"/>
  <c r="I165" i="5" s="1"/>
  <c r="I155" i="5" s="1"/>
  <c r="G176" i="5"/>
  <c r="H176" i="5" s="1"/>
  <c r="I176" i="5" s="1"/>
  <c r="I64" i="5"/>
  <c r="I59" i="5"/>
  <c r="H55" i="5"/>
  <c r="I55" i="5" s="1"/>
  <c r="H53" i="5"/>
  <c r="I53" i="5" s="1"/>
  <c r="C22" i="11" l="1"/>
  <c r="K22" i="11" s="1"/>
  <c r="I39" i="5"/>
  <c r="I38" i="5"/>
  <c r="I85" i="5" l="1"/>
  <c r="H18" i="5" l="1"/>
  <c r="H19" i="5"/>
  <c r="H21" i="5"/>
  <c r="H23" i="5"/>
  <c r="H14" i="5"/>
  <c r="I67" i="5" l="1"/>
  <c r="I63" i="5" l="1"/>
  <c r="I18" i="5"/>
  <c r="I19" i="5"/>
  <c r="I21" i="5"/>
  <c r="I23" i="5"/>
  <c r="G152" i="5" l="1"/>
  <c r="G150" i="5"/>
  <c r="I96" i="5" l="1"/>
  <c r="I90" i="5"/>
  <c r="H112" i="9" l="1"/>
  <c r="G112" i="9"/>
  <c r="G118" i="9"/>
  <c r="B126" i="9"/>
  <c r="A126" i="9"/>
  <c r="A114" i="9"/>
  <c r="B120" i="9"/>
  <c r="B114" i="9"/>
  <c r="A120" i="9"/>
  <c r="B108" i="9"/>
  <c r="B106" i="9"/>
  <c r="A108" i="9"/>
  <c r="A106" i="9"/>
  <c r="H130" i="9"/>
  <c r="G130" i="9"/>
  <c r="A130" i="9"/>
  <c r="H124" i="9"/>
  <c r="G124" i="9"/>
  <c r="A124" i="9"/>
  <c r="H118" i="9"/>
  <c r="A118" i="9"/>
  <c r="A112" i="9"/>
  <c r="G104" i="9"/>
  <c r="G98" i="9"/>
  <c r="E102" i="9" s="1"/>
  <c r="G92" i="9"/>
  <c r="I89" i="9"/>
  <c r="G86" i="9"/>
  <c r="G60" i="9"/>
  <c r="G51" i="9"/>
  <c r="G46" i="9"/>
  <c r="G39" i="9"/>
  <c r="A446" i="9" l="1"/>
  <c r="B446" i="9"/>
  <c r="A448" i="9"/>
  <c r="B448" i="9"/>
  <c r="A449" i="9"/>
  <c r="H449" i="9"/>
  <c r="B443" i="9"/>
  <c r="B440" i="9"/>
  <c r="H438" i="9"/>
  <c r="H435" i="9"/>
  <c r="A443" i="9"/>
  <c r="A440" i="9"/>
  <c r="A437" i="9"/>
  <c r="A434" i="9"/>
  <c r="A431" i="9"/>
  <c r="A428" i="9"/>
  <c r="A424" i="9"/>
  <c r="A416" i="9"/>
  <c r="B416" i="9"/>
  <c r="B437" i="9"/>
  <c r="B434" i="9"/>
  <c r="B431" i="9"/>
  <c r="B428" i="9"/>
  <c r="G508" i="9"/>
  <c r="G393" i="9" l="1"/>
  <c r="G387" i="9"/>
  <c r="G357" i="9"/>
  <c r="G345" i="9"/>
  <c r="G330" i="9"/>
  <c r="G300" i="9"/>
  <c r="G293" i="9"/>
  <c r="G288" i="9"/>
  <c r="G314" i="9"/>
  <c r="G307" i="9"/>
  <c r="G274" i="9"/>
  <c r="G258" i="9"/>
  <c r="B246" i="9"/>
  <c r="G229" i="9"/>
  <c r="B223" i="9"/>
  <c r="G217" i="9"/>
  <c r="G212" i="9"/>
  <c r="G186" i="9" l="1"/>
  <c r="E177" i="9"/>
  <c r="G160" i="9"/>
  <c r="E150" i="9"/>
  <c r="G147" i="9"/>
  <c r="G141" i="9"/>
  <c r="G153" i="9"/>
  <c r="G180" i="9"/>
  <c r="G174" i="9"/>
  <c r="G168" i="9"/>
  <c r="G80" i="9"/>
  <c r="G74" i="9"/>
  <c r="G68" i="9"/>
  <c r="E101" i="9" s="1"/>
  <c r="B48" i="9"/>
  <c r="G376" i="9" l="1"/>
  <c r="G369" i="9"/>
  <c r="G267" i="9"/>
  <c r="G18" i="9" l="1"/>
  <c r="A522" i="9" l="1"/>
  <c r="A516" i="9"/>
  <c r="A512" i="9"/>
  <c r="A508" i="9"/>
  <c r="A499" i="9"/>
  <c r="A496" i="9"/>
  <c r="A492" i="9"/>
  <c r="A489" i="9"/>
  <c r="A486" i="9"/>
  <c r="A481" i="9"/>
  <c r="A478" i="9"/>
  <c r="A475" i="9"/>
  <c r="A472" i="9"/>
  <c r="A469" i="9"/>
  <c r="A466" i="9"/>
  <c r="A463" i="9"/>
  <c r="A460" i="9"/>
  <c r="A457" i="9"/>
  <c r="A452" i="9"/>
  <c r="A444" i="9"/>
  <c r="A441" i="9"/>
  <c r="A438" i="9"/>
  <c r="A435" i="9"/>
  <c r="A432" i="9"/>
  <c r="A429" i="9"/>
  <c r="A426" i="9"/>
  <c r="A422" i="9"/>
  <c r="A418" i="9"/>
  <c r="A412" i="9"/>
  <c r="A409" i="9"/>
  <c r="A406" i="9"/>
  <c r="A403" i="9"/>
  <c r="A400" i="9"/>
  <c r="A393" i="9"/>
  <c r="A387" i="9"/>
  <c r="A376" i="9"/>
  <c r="A369" i="9"/>
  <c r="A357" i="9"/>
  <c r="A345" i="9"/>
  <c r="A330" i="9"/>
  <c r="A314" i="9"/>
  <c r="A307" i="9"/>
  <c r="A293" i="9"/>
  <c r="A288" i="9"/>
  <c r="A279" i="9"/>
  <c r="A274" i="9"/>
  <c r="A267" i="9"/>
  <c r="A258" i="9"/>
  <c r="A247" i="9"/>
  <c r="A242" i="9"/>
  <c r="A237" i="9"/>
  <c r="A232" i="9"/>
  <c r="A229" i="9"/>
  <c r="A224" i="9"/>
  <c r="A212" i="9"/>
  <c r="A197" i="9"/>
  <c r="A186" i="9"/>
  <c r="A180" i="9"/>
  <c r="A174" i="9"/>
  <c r="A168" i="9"/>
  <c r="A160" i="9"/>
  <c r="A153" i="9"/>
  <c r="A147" i="9"/>
  <c r="A141" i="9"/>
  <c r="A104" i="9"/>
  <c r="A98" i="9"/>
  <c r="A92" i="9"/>
  <c r="A86" i="9"/>
  <c r="A74" i="9"/>
  <c r="A80" i="9"/>
  <c r="A68" i="9"/>
  <c r="A60" i="9"/>
  <c r="A51" i="9"/>
  <c r="A46" i="9"/>
  <c r="A39" i="9"/>
  <c r="A22" i="9"/>
  <c r="A18" i="9"/>
  <c r="I154" i="5" l="1"/>
  <c r="I153" i="5"/>
  <c r="I152" i="5"/>
  <c r="I150" i="5"/>
  <c r="I132" i="5"/>
  <c r="I107" i="5"/>
  <c r="I106" i="5"/>
  <c r="I103" i="5"/>
  <c r="I102" i="5"/>
  <c r="I66" i="5"/>
  <c r="I61" i="5" s="1"/>
  <c r="I151" i="5"/>
  <c r="I149" i="5" l="1"/>
  <c r="C13" i="11"/>
  <c r="C34" i="11" s="1"/>
  <c r="I74" i="5"/>
  <c r="I190" i="5"/>
  <c r="I189" i="5" s="1"/>
  <c r="I188" i="5"/>
  <c r="I136" i="5"/>
  <c r="I139" i="5"/>
  <c r="I138" i="5"/>
  <c r="I137" i="5"/>
  <c r="H444" i="9"/>
  <c r="H441" i="9"/>
  <c r="H432" i="9"/>
  <c r="H429" i="9"/>
  <c r="E432" i="9"/>
  <c r="E435" i="9" s="1"/>
  <c r="E438" i="9" s="1"/>
  <c r="E441" i="9" s="1"/>
  <c r="E444" i="9" s="1"/>
  <c r="I135" i="5"/>
  <c r="I134" i="5"/>
  <c r="I105" i="5"/>
  <c r="H409" i="9"/>
  <c r="I104" i="5"/>
  <c r="I100" i="5" l="1"/>
  <c r="C20" i="11" s="1"/>
  <c r="C21" i="11"/>
  <c r="C24" i="11"/>
  <c r="I13" i="11"/>
  <c r="E34" i="11" s="1"/>
  <c r="B477" i="9"/>
  <c r="B474" i="9"/>
  <c r="H475" i="9"/>
  <c r="A474" i="9"/>
  <c r="I20" i="11" l="1"/>
  <c r="C41" i="11"/>
  <c r="K20" i="11"/>
  <c r="C45" i="11"/>
  <c r="O24" i="11"/>
  <c r="E45" i="11" s="1"/>
  <c r="H393" i="9"/>
  <c r="H387" i="9"/>
  <c r="I75" i="5"/>
  <c r="I84" i="5"/>
  <c r="I83" i="5"/>
  <c r="E41" i="11" l="1"/>
  <c r="I82" i="5"/>
  <c r="I77" i="5"/>
  <c r="I76" i="5"/>
  <c r="H314" i="9"/>
  <c r="B309" i="9"/>
  <c r="A309" i="9"/>
  <c r="I73" i="5"/>
  <c r="I72" i="5" s="1"/>
  <c r="H293" i="9"/>
  <c r="B290" i="9"/>
  <c r="A290" i="9"/>
  <c r="H288" i="9"/>
  <c r="I71" i="5"/>
  <c r="H267" i="9"/>
  <c r="I70" i="5"/>
  <c r="I68" i="5" s="1"/>
  <c r="A269" i="9"/>
  <c r="B269" i="9"/>
  <c r="C37" i="11" l="1"/>
  <c r="C17" i="11"/>
  <c r="K16" i="11"/>
  <c r="E37" i="11" s="1"/>
  <c r="G247" i="9"/>
  <c r="G242" i="9"/>
  <c r="G237" i="9"/>
  <c r="G232" i="9"/>
  <c r="G224" i="9"/>
  <c r="I60" i="5"/>
  <c r="I58" i="5"/>
  <c r="I56" i="5" s="1"/>
  <c r="B188" i="9"/>
  <c r="C14" i="11" l="1"/>
  <c r="C35" i="11" s="1"/>
  <c r="K17" i="11"/>
  <c r="E38" i="11" s="1"/>
  <c r="C38" i="11"/>
  <c r="C15" i="11"/>
  <c r="I50" i="5"/>
  <c r="H180" i="9"/>
  <c r="I49" i="5"/>
  <c r="H174" i="9"/>
  <c r="I48" i="5"/>
  <c r="H168" i="9"/>
  <c r="I47" i="5"/>
  <c r="I45" i="5"/>
  <c r="I44" i="5"/>
  <c r="H147" i="9"/>
  <c r="I43" i="5"/>
  <c r="I42" i="5"/>
  <c r="H104" i="9"/>
  <c r="I36" i="5"/>
  <c r="H74" i="9"/>
  <c r="I35" i="5"/>
  <c r="I34" i="5"/>
  <c r="I30" i="5"/>
  <c r="B100" i="9"/>
  <c r="A100" i="9"/>
  <c r="A70" i="9"/>
  <c r="B70" i="9"/>
  <c r="B64" i="9"/>
  <c r="I31" i="5"/>
  <c r="I32" i="5"/>
  <c r="I33" i="5"/>
  <c r="I14" i="11" l="1"/>
  <c r="E35" i="11" s="1"/>
  <c r="I15" i="11"/>
  <c r="C36" i="11"/>
  <c r="K15" i="11"/>
  <c r="C12" i="11"/>
  <c r="C33" i="11" s="1"/>
  <c r="I28" i="5"/>
  <c r="E36" i="11" l="1"/>
  <c r="G12" i="11"/>
  <c r="E33" i="11" s="1"/>
  <c r="H522" i="9"/>
  <c r="H516" i="9"/>
  <c r="H512" i="9"/>
  <c r="H508" i="9"/>
  <c r="H499" i="9"/>
  <c r="H496" i="9"/>
  <c r="H492" i="9"/>
  <c r="H489" i="9"/>
  <c r="H486" i="9"/>
  <c r="H481" i="9"/>
  <c r="H478" i="9"/>
  <c r="H472" i="9"/>
  <c r="H469" i="9"/>
  <c r="H466" i="9"/>
  <c r="H463" i="9"/>
  <c r="H460" i="9"/>
  <c r="H457" i="9"/>
  <c r="H452" i="9"/>
  <c r="H426" i="9"/>
  <c r="H422" i="9"/>
  <c r="H418" i="9"/>
  <c r="H412" i="9"/>
  <c r="H406" i="9"/>
  <c r="H403" i="9"/>
  <c r="H400" i="9"/>
  <c r="H369" i="9"/>
  <c r="H357" i="9"/>
  <c r="H345" i="9"/>
  <c r="H330" i="9"/>
  <c r="H307" i="9"/>
  <c r="H300" i="9"/>
  <c r="H279" i="9"/>
  <c r="H274" i="9"/>
  <c r="H258" i="9"/>
  <c r="H247" i="9"/>
  <c r="H242" i="9"/>
  <c r="H237" i="9"/>
  <c r="H232" i="9"/>
  <c r="H229" i="9"/>
  <c r="H224" i="9"/>
  <c r="H217" i="9"/>
  <c r="H212" i="9"/>
  <c r="H197" i="9"/>
  <c r="H186" i="9"/>
  <c r="H160" i="9"/>
  <c r="B155" i="9"/>
  <c r="A155" i="9"/>
  <c r="A162" i="9"/>
  <c r="B162" i="9"/>
  <c r="A164" i="9"/>
  <c r="B164" i="9"/>
  <c r="H153" i="9"/>
  <c r="H141" i="9"/>
  <c r="H98" i="9"/>
  <c r="H92" i="9"/>
  <c r="H86" i="9"/>
  <c r="H80" i="9"/>
  <c r="H68" i="9"/>
  <c r="H60" i="9"/>
  <c r="H51" i="9"/>
  <c r="H46" i="9"/>
  <c r="H39" i="9"/>
  <c r="H22" i="9"/>
  <c r="B520" i="9"/>
  <c r="A520" i="9"/>
  <c r="B518" i="9"/>
  <c r="A518" i="9"/>
  <c r="B514" i="9"/>
  <c r="A514" i="9"/>
  <c r="B510" i="9"/>
  <c r="A510" i="9"/>
  <c r="B505" i="9"/>
  <c r="A505" i="9"/>
  <c r="B503" i="9"/>
  <c r="A503" i="9"/>
  <c r="B501" i="9"/>
  <c r="A501" i="9"/>
  <c r="B498" i="9"/>
  <c r="A498" i="9"/>
  <c r="B494" i="9"/>
  <c r="A494" i="9"/>
  <c r="B491" i="9"/>
  <c r="A491" i="9"/>
  <c r="B488" i="9"/>
  <c r="A488" i="9"/>
  <c r="B485" i="9"/>
  <c r="A485" i="9"/>
  <c r="B483" i="9"/>
  <c r="A483" i="9"/>
  <c r="B480" i="9"/>
  <c r="A480" i="9"/>
  <c r="A477" i="9"/>
  <c r="B471" i="9"/>
  <c r="A471" i="9"/>
  <c r="B468" i="9"/>
  <c r="A468" i="9"/>
  <c r="B465" i="9"/>
  <c r="A465" i="9"/>
  <c r="B462" i="9"/>
  <c r="A462" i="9"/>
  <c r="B459" i="9"/>
  <c r="A459" i="9"/>
  <c r="B456" i="9"/>
  <c r="A456" i="9"/>
  <c r="B454" i="9"/>
  <c r="A454" i="9"/>
  <c r="B451" i="9"/>
  <c r="A451" i="9"/>
  <c r="B424" i="9"/>
  <c r="B420" i="9"/>
  <c r="A420" i="9"/>
  <c r="B414" i="9"/>
  <c r="A414" i="9"/>
  <c r="B411" i="9"/>
  <c r="A411" i="9"/>
  <c r="B408" i="9"/>
  <c r="A408" i="9"/>
  <c r="B405" i="9"/>
  <c r="A405" i="9"/>
  <c r="B402" i="9"/>
  <c r="A402" i="9"/>
  <c r="B399" i="9"/>
  <c r="A399" i="9"/>
  <c r="B397" i="9"/>
  <c r="A397" i="9"/>
  <c r="B395" i="9"/>
  <c r="A395" i="9"/>
  <c r="B389" i="9"/>
  <c r="A389" i="9"/>
  <c r="B380" i="9"/>
  <c r="A380" i="9"/>
  <c r="B378" i="9"/>
  <c r="A378" i="9"/>
  <c r="B373" i="9"/>
  <c r="A373" i="9"/>
  <c r="B371" i="9"/>
  <c r="A371" i="9"/>
  <c r="B359" i="9"/>
  <c r="A359" i="9"/>
  <c r="B347" i="9"/>
  <c r="A347" i="9"/>
  <c r="B334" i="9"/>
  <c r="A334" i="9"/>
  <c r="B332" i="9"/>
  <c r="A332" i="9"/>
  <c r="B316" i="9"/>
  <c r="A316" i="9"/>
  <c r="B302" i="9"/>
  <c r="A302" i="9"/>
  <c r="B295" i="9"/>
  <c r="A295" i="9"/>
  <c r="B283" i="9"/>
  <c r="A283" i="9"/>
  <c r="B281" i="9"/>
  <c r="A281" i="9"/>
  <c r="B276" i="9"/>
  <c r="A276" i="9"/>
  <c r="B260" i="9"/>
  <c r="A260" i="9"/>
  <c r="B251" i="9"/>
  <c r="A251" i="9"/>
  <c r="B249" i="9"/>
  <c r="A249" i="9"/>
  <c r="A246" i="9"/>
  <c r="B244" i="9"/>
  <c r="A244" i="9"/>
  <c r="B241" i="9"/>
  <c r="A241" i="9"/>
  <c r="B239" i="9"/>
  <c r="A239" i="9"/>
  <c r="B236" i="9"/>
  <c r="A236" i="9"/>
  <c r="B234" i="9"/>
  <c r="A234" i="9"/>
  <c r="B231" i="9"/>
  <c r="A231" i="9"/>
  <c r="B228" i="9"/>
  <c r="A228" i="9"/>
  <c r="B226" i="9"/>
  <c r="A226" i="9"/>
  <c r="A223" i="9" l="1"/>
  <c r="B221" i="9"/>
  <c r="A221" i="9"/>
  <c r="B219" i="9"/>
  <c r="A219" i="9"/>
  <c r="B214" i="9"/>
  <c r="A214" i="9"/>
  <c r="B203" i="9"/>
  <c r="A203" i="9"/>
  <c r="B201" i="9"/>
  <c r="A201" i="9"/>
  <c r="B199" i="9"/>
  <c r="A199" i="9"/>
  <c r="B190" i="9"/>
  <c r="A190" i="9"/>
  <c r="A188" i="9"/>
  <c r="B182" i="9"/>
  <c r="A182" i="9"/>
  <c r="B176" i="9"/>
  <c r="A176" i="9"/>
  <c r="B170" i="9"/>
  <c r="A170" i="9"/>
  <c r="B149" i="9"/>
  <c r="A149" i="9"/>
  <c r="B143" i="9"/>
  <c r="A143" i="9"/>
  <c r="B136" i="9"/>
  <c r="A136" i="9"/>
  <c r="B134" i="9"/>
  <c r="A134" i="9"/>
  <c r="B132" i="9"/>
  <c r="A132" i="9"/>
  <c r="B94" i="9"/>
  <c r="A94" i="9"/>
  <c r="B88" i="9"/>
  <c r="A88" i="9"/>
  <c r="B82" i="9"/>
  <c r="A82" i="9"/>
  <c r="B76" i="9"/>
  <c r="A76" i="9"/>
  <c r="A64" i="9"/>
  <c r="B62" i="9"/>
  <c r="A62" i="9"/>
  <c r="B55" i="9"/>
  <c r="A55" i="9"/>
  <c r="B53" i="9"/>
  <c r="A53" i="9"/>
  <c r="A48" i="9"/>
  <c r="B41" i="9"/>
  <c r="A41" i="9"/>
  <c r="B28" i="9"/>
  <c r="A28" i="9"/>
  <c r="B26" i="9"/>
  <c r="A26" i="9"/>
  <c r="B24" i="9"/>
  <c r="A24" i="9"/>
  <c r="B20" i="9"/>
  <c r="A20" i="9"/>
  <c r="H18" i="9"/>
  <c r="B15" i="9"/>
  <c r="A15" i="9"/>
  <c r="B11" i="9"/>
  <c r="A11" i="9"/>
  <c r="B13" i="9"/>
  <c r="A13" i="9"/>
  <c r="C9" i="9"/>
  <c r="C8" i="9"/>
  <c r="C7" i="9"/>
  <c r="I14" i="5" l="1"/>
  <c r="L28" i="5" l="1"/>
  <c r="T28" i="5"/>
  <c r="AB28" i="5"/>
  <c r="N28" i="5"/>
  <c r="AD28" i="5"/>
  <c r="P28" i="5"/>
  <c r="X28" i="5"/>
  <c r="AF28" i="5"/>
  <c r="J28" i="5"/>
  <c r="R28" i="5"/>
  <c r="Z28" i="5"/>
  <c r="AH28" i="5"/>
  <c r="V28" i="5"/>
  <c r="AD44" i="5"/>
  <c r="N44" i="5"/>
  <c r="AD43" i="5"/>
  <c r="N43" i="5"/>
  <c r="AB44" i="5"/>
  <c r="L44" i="5"/>
  <c r="AB43" i="5"/>
  <c r="L43" i="5"/>
  <c r="V44" i="5"/>
  <c r="T43" i="5"/>
  <c r="AH44" i="5"/>
  <c r="R44" i="5"/>
  <c r="R43" i="5"/>
  <c r="AF44" i="5"/>
  <c r="AF43" i="5"/>
  <c r="V43" i="5"/>
  <c r="T44" i="5"/>
  <c r="AH43" i="5"/>
  <c r="P44" i="5"/>
  <c r="P43" i="5"/>
  <c r="Z44" i="5"/>
  <c r="J44" i="5"/>
  <c r="Z43" i="5"/>
  <c r="J43" i="5"/>
  <c r="X44" i="5"/>
  <c r="X43" i="5"/>
  <c r="AB41" i="5"/>
  <c r="L41" i="5"/>
  <c r="Z41" i="5"/>
  <c r="J41" i="5"/>
  <c r="X41" i="5"/>
  <c r="T41" i="5"/>
  <c r="AH41" i="5"/>
  <c r="R41" i="5"/>
  <c r="AF41" i="5"/>
  <c r="P41" i="5"/>
  <c r="AD41" i="5"/>
  <c r="N41" i="5"/>
  <c r="V41" i="5"/>
  <c r="AH36" i="5"/>
  <c r="R36" i="5"/>
  <c r="T36" i="5"/>
  <c r="AF36" i="5"/>
  <c r="P36" i="5"/>
  <c r="AD36" i="5"/>
  <c r="N36" i="5"/>
  <c r="L36" i="5"/>
  <c r="Z36" i="5"/>
  <c r="AB36" i="5"/>
  <c r="J36" i="5"/>
  <c r="X36" i="5"/>
  <c r="V36" i="5"/>
  <c r="AH40" i="5"/>
  <c r="Z40" i="5"/>
  <c r="R40" i="5"/>
  <c r="J40" i="5"/>
  <c r="AF40" i="5"/>
  <c r="X40" i="5"/>
  <c r="P40" i="5"/>
  <c r="AD40" i="5"/>
  <c r="V40" i="5"/>
  <c r="N40" i="5"/>
  <c r="AB40" i="5"/>
  <c r="T40" i="5"/>
  <c r="L40" i="5"/>
  <c r="T57" i="5"/>
  <c r="L57" i="5"/>
  <c r="Z39" i="5"/>
  <c r="AB57" i="5"/>
  <c r="AH39" i="5"/>
  <c r="N57" i="5"/>
  <c r="V57" i="5"/>
  <c r="AD57" i="5"/>
  <c r="J39" i="5"/>
  <c r="P57" i="5"/>
  <c r="X57" i="5"/>
  <c r="AF57" i="5"/>
  <c r="R39" i="5"/>
  <c r="J58" i="5"/>
  <c r="R57" i="5"/>
  <c r="Z57" i="5"/>
  <c r="AH57" i="5"/>
  <c r="J51" i="5"/>
  <c r="L39" i="5"/>
  <c r="T39" i="5"/>
  <c r="AB39" i="5"/>
  <c r="N39" i="5"/>
  <c r="V39" i="5"/>
  <c r="AD39" i="5"/>
  <c r="P39" i="5"/>
  <c r="X39" i="5"/>
  <c r="AF39" i="5"/>
  <c r="I11" i="8"/>
  <c r="F37" i="8"/>
  <c r="I37" i="8" l="1"/>
  <c r="F36" i="8"/>
  <c r="I36" i="8" s="1"/>
  <c r="F7" i="8"/>
  <c r="I7" i="8" s="1"/>
  <c r="I14" i="8"/>
  <c r="I13" i="8"/>
  <c r="I31" i="8"/>
  <c r="F28" i="8"/>
  <c r="I28" i="8" s="1"/>
  <c r="G26" i="8"/>
  <c r="F26" i="8"/>
  <c r="G21" i="8"/>
  <c r="I21" i="8" s="1"/>
  <c r="G20" i="8"/>
  <c r="I20" i="8" s="1"/>
  <c r="G19" i="8"/>
  <c r="I19" i="8" s="1"/>
  <c r="G18" i="8"/>
  <c r="I18" i="8" s="1"/>
  <c r="I9" i="8"/>
  <c r="I8" i="8"/>
  <c r="I6" i="8"/>
  <c r="I26" i="8" l="1"/>
  <c r="J9" i="8"/>
  <c r="I29" i="8"/>
  <c r="AH35" i="5" l="1"/>
  <c r="R35" i="5"/>
  <c r="AB35" i="5"/>
  <c r="Z35" i="5"/>
  <c r="J35" i="5"/>
  <c r="AF35" i="5"/>
  <c r="X35" i="5"/>
  <c r="P35" i="5"/>
  <c r="AD35" i="5"/>
  <c r="V35" i="5"/>
  <c r="N35" i="5"/>
  <c r="T35" i="5"/>
  <c r="L35" i="5"/>
  <c r="AB14" i="5" l="1"/>
  <c r="X14" i="5"/>
  <c r="AH14" i="5"/>
  <c r="AD14" i="5"/>
  <c r="Z14" i="5"/>
  <c r="V14" i="5"/>
  <c r="R14" i="5"/>
  <c r="N14" i="5"/>
  <c r="AF14" i="5"/>
  <c r="T14" i="5"/>
  <c r="P14" i="5"/>
  <c r="L14" i="5"/>
  <c r="J14" i="5"/>
  <c r="I26" i="5" l="1"/>
  <c r="I87" i="5"/>
  <c r="I187" i="5"/>
  <c r="I185" i="5" s="1"/>
  <c r="I86" i="5" l="1"/>
  <c r="C18" i="11" s="1"/>
  <c r="C43" i="11"/>
  <c r="C23" i="11"/>
  <c r="I24" i="5"/>
  <c r="C10" i="11" s="1"/>
  <c r="E10" i="11" s="1"/>
  <c r="E31" i="11" s="1"/>
  <c r="M22" i="11"/>
  <c r="E43" i="11" s="1"/>
  <c r="I52" i="5"/>
  <c r="I40" i="5" s="1"/>
  <c r="I94" i="5"/>
  <c r="I88" i="5" s="1"/>
  <c r="C44" i="11" l="1"/>
  <c r="O23" i="11"/>
  <c r="E44" i="11" s="1"/>
  <c r="C11" i="11"/>
  <c r="C31" i="11"/>
  <c r="C39" i="11"/>
  <c r="C19" i="11"/>
  <c r="G18" i="11"/>
  <c r="E39" i="11" s="1"/>
  <c r="I17" i="5"/>
  <c r="I12" i="5" s="1"/>
  <c r="G11" i="11" l="1"/>
  <c r="C32" i="11"/>
  <c r="E11" i="11"/>
  <c r="E32" i="11" s="1"/>
  <c r="C40" i="11"/>
  <c r="M19" i="11"/>
  <c r="O19" i="11"/>
  <c r="I191" i="5"/>
  <c r="C42" i="11"/>
  <c r="E40" i="11" l="1"/>
  <c r="M21" i="11"/>
  <c r="E42" i="11" s="1"/>
  <c r="C9" i="11"/>
  <c r="C30" i="11" l="1"/>
  <c r="C25" i="11"/>
  <c r="E9" i="11"/>
  <c r="C46" i="11" l="1"/>
  <c r="D46" i="11" s="1"/>
  <c r="D24" i="11"/>
  <c r="D45" i="11"/>
  <c r="D9" i="11"/>
  <c r="E30" i="11"/>
  <c r="E46" i="11" s="1"/>
  <c r="D37" i="11"/>
  <c r="D41" i="11"/>
  <c r="D34" i="11"/>
  <c r="D38" i="11"/>
  <c r="D39" i="11"/>
  <c r="D43" i="11"/>
  <c r="D31" i="11"/>
  <c r="D42" i="11"/>
  <c r="D44" i="11"/>
  <c r="D35" i="11"/>
  <c r="D30" i="11"/>
  <c r="D40" i="11"/>
  <c r="D32" i="11"/>
  <c r="D33" i="11"/>
  <c r="D36" i="11"/>
  <c r="M25" i="11"/>
  <c r="N25" i="11"/>
  <c r="D25" i="11"/>
  <c r="D17" i="11"/>
  <c r="D23" i="11"/>
  <c r="D20" i="11"/>
  <c r="D13" i="11"/>
  <c r="D19" i="11"/>
  <c r="D16" i="11"/>
  <c r="D14" i="11"/>
  <c r="D15" i="11"/>
  <c r="D12" i="11"/>
  <c r="D10" i="11"/>
  <c r="D22" i="11"/>
  <c r="D18" i="11"/>
  <c r="D11" i="11"/>
  <c r="D21" i="11"/>
  <c r="H25" i="11"/>
  <c r="G25" i="11"/>
  <c r="F25" i="11"/>
  <c r="E25" i="11"/>
  <c r="I25" i="11"/>
  <c r="J25" i="11"/>
  <c r="O25" i="11"/>
  <c r="P25" i="11"/>
  <c r="K25" i="11"/>
  <c r="L25" i="11"/>
</calcChain>
</file>

<file path=xl/sharedStrings.xml><?xml version="1.0" encoding="utf-8"?>
<sst xmlns="http://schemas.openxmlformats.org/spreadsheetml/2006/main" count="1888" uniqueCount="631">
  <si>
    <t>11.1</t>
  </si>
  <si>
    <t>11.4</t>
  </si>
  <si>
    <t xml:space="preserve">PINTURA </t>
  </si>
  <si>
    <t>12.1</t>
  </si>
  <si>
    <t>12.2</t>
  </si>
  <si>
    <t>12.3</t>
  </si>
  <si>
    <t>12.4</t>
  </si>
  <si>
    <t>12.5</t>
  </si>
  <si>
    <t>12.6</t>
  </si>
  <si>
    <t>13.2</t>
  </si>
  <si>
    <t>14.1</t>
  </si>
  <si>
    <t>14.2</t>
  </si>
  <si>
    <t>14.3</t>
  </si>
  <si>
    <t xml:space="preserve">LOUÇAS E METAIS </t>
  </si>
  <si>
    <t>SERVIÇOS FINAIS</t>
  </si>
  <si>
    <t>11.3</t>
  </si>
  <si>
    <t>13.3</t>
  </si>
  <si>
    <t>13.4</t>
  </si>
  <si>
    <t>13.5</t>
  </si>
  <si>
    <t>15.1</t>
  </si>
  <si>
    <t>15.2</t>
  </si>
  <si>
    <t>ITEM</t>
  </si>
  <si>
    <t>CÓDIGO</t>
  </si>
  <si>
    <t>FONTE</t>
  </si>
  <si>
    <t>DESCRIÇÃO DOS SERVIÇOS</t>
  </si>
  <si>
    <t>UNID.</t>
  </si>
  <si>
    <t>VALOR (R$)</t>
  </si>
  <si>
    <t>1.1</t>
  </si>
  <si>
    <t>2.1</t>
  </si>
  <si>
    <t>3.1</t>
  </si>
  <si>
    <t>m³</t>
  </si>
  <si>
    <t>SINAPI</t>
  </si>
  <si>
    <t>m²</t>
  </si>
  <si>
    <t>4.2</t>
  </si>
  <si>
    <t>4.3</t>
  </si>
  <si>
    <t>5.1</t>
  </si>
  <si>
    <t>5.2</t>
  </si>
  <si>
    <t>kg</t>
  </si>
  <si>
    <t>6.1</t>
  </si>
  <si>
    <t>m</t>
  </si>
  <si>
    <t>3.2</t>
  </si>
  <si>
    <t>7.1</t>
  </si>
  <si>
    <t>7.2</t>
  </si>
  <si>
    <t>7.3</t>
  </si>
  <si>
    <t>8.1</t>
  </si>
  <si>
    <t xml:space="preserve">SERVIÇOS PRELIMINARES </t>
  </si>
  <si>
    <t>2.2</t>
  </si>
  <si>
    <t>2.3</t>
  </si>
  <si>
    <t>2.4</t>
  </si>
  <si>
    <t xml:space="preserve">SUPERESTRUTURA </t>
  </si>
  <si>
    <t xml:space="preserve">PAREDES E PAINEIS </t>
  </si>
  <si>
    <t>ALVENARIA DE VEDAÇÃO</t>
  </si>
  <si>
    <t xml:space="preserve">ESQUADRIAS </t>
  </si>
  <si>
    <t>6.2</t>
  </si>
  <si>
    <t xml:space="preserve">COBERTURA </t>
  </si>
  <si>
    <t>9.1</t>
  </si>
  <si>
    <t>9.2</t>
  </si>
  <si>
    <t>9.3</t>
  </si>
  <si>
    <t>10.1</t>
  </si>
  <si>
    <t>6.3</t>
  </si>
  <si>
    <t>7.5</t>
  </si>
  <si>
    <t>7.6</t>
  </si>
  <si>
    <t>7.7</t>
  </si>
  <si>
    <t>ÁREAS EXTERNAS</t>
  </si>
  <si>
    <t>PAVIMENTAÇÃO EXTERNA</t>
  </si>
  <si>
    <t>7.4</t>
  </si>
  <si>
    <t>11.2</t>
  </si>
  <si>
    <t>M</t>
  </si>
  <si>
    <t>CPOS</t>
  </si>
  <si>
    <t>FDE</t>
  </si>
  <si>
    <t>PREÇO TOTAL (R$)</t>
  </si>
  <si>
    <t>Estacas</t>
  </si>
  <si>
    <t>PROPONENTE:</t>
  </si>
  <si>
    <t>PREFEITURA MUNICIPAL DE BIRIGUI</t>
  </si>
  <si>
    <t>ORÇAMENTO:</t>
  </si>
  <si>
    <t>LOCAL:</t>
  </si>
  <si>
    <t>PLANILHA ORÇAMENTÁRIA ANALÍTICA</t>
  </si>
  <si>
    <t>Data Base</t>
  </si>
  <si>
    <t>Índice</t>
  </si>
  <si>
    <t>Data</t>
  </si>
  <si>
    <t>Medição</t>
  </si>
  <si>
    <t>MEDIDO NO PERÍODO (R$)</t>
  </si>
  <si>
    <t>MEDIDO NO PERÍODO (%)</t>
  </si>
  <si>
    <t>Boletim de Medição</t>
  </si>
  <si>
    <t>Total Acumulado</t>
  </si>
  <si>
    <t>Compr</t>
  </si>
  <si>
    <t>peso/m</t>
  </si>
  <si>
    <t>Vigas</t>
  </si>
  <si>
    <t>Total</t>
  </si>
  <si>
    <t>Aço</t>
  </si>
  <si>
    <t>Viga</t>
  </si>
  <si>
    <t>Canaleta</t>
  </si>
  <si>
    <t>Travamento</t>
  </si>
  <si>
    <t>Quant. Peças</t>
  </si>
  <si>
    <t>quan Ferro</t>
  </si>
  <si>
    <t>blocos de f</t>
  </si>
  <si>
    <t>Por peça</t>
  </si>
  <si>
    <t>Concreto</t>
  </si>
  <si>
    <t>Formas</t>
  </si>
  <si>
    <t>Aço  CA 50</t>
  </si>
  <si>
    <t>Aço  CA 60</t>
  </si>
  <si>
    <t>Lado x 2</t>
  </si>
  <si>
    <t>Placa de base</t>
  </si>
  <si>
    <t>Parafusos</t>
  </si>
  <si>
    <t>comp</t>
  </si>
  <si>
    <t>quant</t>
  </si>
  <si>
    <t>Área</t>
  </si>
  <si>
    <t>peso/m2</t>
  </si>
  <si>
    <t xml:space="preserve">Placa </t>
  </si>
  <si>
    <t>est por pilar</t>
  </si>
  <si>
    <t>largura</t>
  </si>
  <si>
    <t>altura</t>
  </si>
  <si>
    <t>Lartro</t>
  </si>
  <si>
    <t>5mm</t>
  </si>
  <si>
    <t>10mm</t>
  </si>
  <si>
    <t>6.3mm</t>
  </si>
  <si>
    <t>estacas</t>
  </si>
  <si>
    <t>1.2</t>
  </si>
  <si>
    <t>5.3</t>
  </si>
  <si>
    <t>74209/001</t>
  </si>
  <si>
    <t>FUNDAÇÃO</t>
  </si>
  <si>
    <t>3.3</t>
  </si>
  <si>
    <t>4.1</t>
  </si>
  <si>
    <t>TOTAL:</t>
  </si>
  <si>
    <t>MEMORIAL DE CÁLCULO</t>
  </si>
  <si>
    <t>16.1</t>
  </si>
  <si>
    <t>Altura das paredes</t>
  </si>
  <si>
    <t>Medida linear das paredes</t>
  </si>
  <si>
    <t>Descontos (vãos de abertura e esquadrias)</t>
  </si>
  <si>
    <t>Largura</t>
  </si>
  <si>
    <t>Altura</t>
  </si>
  <si>
    <t>3*1,5</t>
  </si>
  <si>
    <t>Area da esdificação ( retirada em Autocad )</t>
  </si>
  <si>
    <t>uni</t>
  </si>
  <si>
    <t>Quantidade de barras por estaca</t>
  </si>
  <si>
    <t>Comprimento das barras</t>
  </si>
  <si>
    <t>Quantidade de estacas</t>
  </si>
  <si>
    <t>kg/m</t>
  </si>
  <si>
    <t>Comprimento dos estribos</t>
  </si>
  <si>
    <t>Quantidade de estribos por estaca</t>
  </si>
  <si>
    <t>Comprimento das estacas</t>
  </si>
  <si>
    <t>Quantidade de pilares</t>
  </si>
  <si>
    <t>Quantidade de barras por pilar</t>
  </si>
  <si>
    <t>Peso por metro da barra de 4,2 mm</t>
  </si>
  <si>
    <t>Metro linear</t>
  </si>
  <si>
    <t>Comprimento</t>
  </si>
  <si>
    <t xml:space="preserve">Quantidade de barras </t>
  </si>
  <si>
    <t>Espessura</t>
  </si>
  <si>
    <t>Quantidade</t>
  </si>
  <si>
    <t>Quantidade (espaçamento de 15 cm)</t>
  </si>
  <si>
    <t>Volume de concreto</t>
  </si>
  <si>
    <t>Volume escavado</t>
  </si>
  <si>
    <t>coeficiente de enpolamento</t>
  </si>
  <si>
    <t>%</t>
  </si>
  <si>
    <t>Quantidade de pilar</t>
  </si>
  <si>
    <t>Quantidade (espaçamento de 12 cm)</t>
  </si>
  <si>
    <t>Ampliação:</t>
  </si>
  <si>
    <t>Passarela:</t>
  </si>
  <si>
    <t>14*11,85+3,20*1,60</t>
  </si>
  <si>
    <t>Cumeeira ampliação:</t>
  </si>
  <si>
    <t>Cumeeira passarela:</t>
  </si>
  <si>
    <t>Calha ampliação:</t>
  </si>
  <si>
    <t>Paredes com chapisco em uma face:</t>
  </si>
  <si>
    <t>Paredes com chapisco em duas faces: (x2)</t>
  </si>
  <si>
    <t>Hall (2,00x1,85)</t>
  </si>
  <si>
    <t>WC pne feminino (1,70x2,43)</t>
  </si>
  <si>
    <t>WC masculino (1,70x2,43+1,15x1,20)</t>
  </si>
  <si>
    <t>DML (1,25X1,00)</t>
  </si>
  <si>
    <t>Circulação (2,00x7,15+2,25x1,15+2,00x1,15)</t>
  </si>
  <si>
    <t>Sala 01 (5,00x5,00)</t>
  </si>
  <si>
    <t>Sala 03 (5,00x5,00)</t>
  </si>
  <si>
    <t>Sala 02 (5,00x7,15)</t>
  </si>
  <si>
    <t>19,18+25,00+35,75+25</t>
  </si>
  <si>
    <t>WC pen feminino:</t>
  </si>
  <si>
    <t>1,70x2,10 (x2)</t>
  </si>
  <si>
    <t>2,43x2,10 (x2)</t>
  </si>
  <si>
    <t>Wc masculino:</t>
  </si>
  <si>
    <t xml:space="preserve">2,43x2,10 </t>
  </si>
  <si>
    <t>1,23x2,10</t>
  </si>
  <si>
    <t>1,15x2,10</t>
  </si>
  <si>
    <t>1,20x2,10</t>
  </si>
  <si>
    <t>1,70x2,10</t>
  </si>
  <si>
    <t>2,85x2,10</t>
  </si>
  <si>
    <t>Descontos:</t>
  </si>
  <si>
    <t>Piso externo</t>
  </si>
  <si>
    <t>3,70+4,13+5,50+1,25+19,18+25,00+35,75+25,00+50,10*(0,02)</t>
  </si>
  <si>
    <t>3,70+4,13+5,50+1,25+19,18+25,00+35,75+25,00+50,10</t>
  </si>
  <si>
    <t>WC pne feminino (0,80x0,15)</t>
  </si>
  <si>
    <t>WC masculino (0,80x0,15)</t>
  </si>
  <si>
    <t>0,80+0,80</t>
  </si>
  <si>
    <t>50,10*0,02</t>
  </si>
  <si>
    <t>Area total da edificação ( retirada em Autocad )</t>
  </si>
  <si>
    <t>TUBO PVC, SERIE NORMAL, DN 100 MM, FORNECIMENTO E INSTALAÇÃO</t>
  </si>
  <si>
    <t>TUBO PVC, SERIE NORMAL, DN 50 MM, FORNECIMENTO E INSTALAÇÃO</t>
  </si>
  <si>
    <t>TUBO PVC, SERIE NORMAL, DN 40 MM, FORNECIMENTO E INSTALAÇÃO</t>
  </si>
  <si>
    <t>JOELHO 45 GRAUS, PVC, SERIE NORMAL, ESGOTO PREDIAL, DN 50 MM, JUNTA ELÁSTICA, FORNECIDO E INSTALADO EM RAMAL DE DESCARGA OU RAMAL DE ESGOTO SANITÁRIO. AF_12/2014</t>
  </si>
  <si>
    <t>JUNCAO SIMPLES PVC P/ ESG PREDIAL DN 100X50MM</t>
  </si>
  <si>
    <t>BDI Adotado</t>
  </si>
  <si>
    <t>QUANT</t>
  </si>
  <si>
    <t>UNI</t>
  </si>
  <si>
    <t>PR. UNIT. sem bdi (R$)</t>
  </si>
  <si>
    <t>PR. UNIT. com bdi (R$)</t>
  </si>
  <si>
    <t>Conta</t>
  </si>
  <si>
    <t>13.6</t>
  </si>
  <si>
    <t>Peso por metro aço de 10 mm</t>
  </si>
  <si>
    <t>84,72*0,40*0,30</t>
  </si>
  <si>
    <t>84,72*0,05*0,30</t>
  </si>
  <si>
    <t>84,72*0,30*2,00</t>
  </si>
  <si>
    <t>3,20*0,30*2,00*14</t>
  </si>
  <si>
    <t>84,72*0,14*2,00</t>
  </si>
  <si>
    <t>84,72*0,30*0,14</t>
  </si>
  <si>
    <t>Peso por metro da barra de 8 mm</t>
  </si>
  <si>
    <t>Peso por metro da barra de 10 mm</t>
  </si>
  <si>
    <t>84,72*4,00*0,395</t>
  </si>
  <si>
    <t>564,80*0,94*0,395</t>
  </si>
  <si>
    <t>706,00*0,76*0,617</t>
  </si>
  <si>
    <t>3,20*4,00*0,617</t>
  </si>
  <si>
    <t>0,14*0,30*3,20*14</t>
  </si>
  <si>
    <t>5 janelas de abrir 3,00 x 1,20 ( Área da esquadria 3,60 m² )</t>
  </si>
  <si>
    <t>2 janelas de abrir 1,20 x 0,50 ( Área da esquadria 0,60 m² )</t>
  </si>
  <si>
    <t>4 portas de abrir 1,20 x 2,10 ( Área da esquadria 2,52 m² )</t>
  </si>
  <si>
    <t>2 portas de abrir 0,80 x 2,10 ( Área da esquadria 1,68 m² )</t>
  </si>
  <si>
    <t>1 portas de abrir 0,60 x 2,10 ( Área da esquadria 1,26 m² )</t>
  </si>
  <si>
    <t>(79,42*2,30)-18,00-1,20-10,08-3,36-1,26</t>
  </si>
  <si>
    <t>1,37*2,10</t>
  </si>
  <si>
    <t>14*11,85+1,60*3,20</t>
  </si>
  <si>
    <t>24,84+4,80</t>
  </si>
  <si>
    <t>3,70+4,13+5,51+1,25</t>
  </si>
  <si>
    <t>50,10*3</t>
  </si>
  <si>
    <t>31,15*2,30*2+47,51*3,00</t>
  </si>
  <si>
    <t>Metro linear das paredes externas x2 (duas faces)</t>
  </si>
  <si>
    <t>Metro linear das paredes internas x2 (duas faces)</t>
  </si>
  <si>
    <t>31,15*2,30*(2)+50,10*3,00*(2)</t>
  </si>
  <si>
    <t>Janela wc pne feminino 1,20x0,50</t>
  </si>
  <si>
    <t>Janela wc masculino 1,20x0,50</t>
  </si>
  <si>
    <t>10,20+7,14+5,98+5,10+3,57+2,58+2,52+2,41-0,60-0,60</t>
  </si>
  <si>
    <t>DML (1,25x1,00)</t>
  </si>
  <si>
    <t>Área total das paredes internas x2 (duas faces)</t>
  </si>
  <si>
    <t>Área total das paredes externas x2 (duas faces)</t>
  </si>
  <si>
    <t xml:space="preserve">Descontos:     </t>
  </si>
  <si>
    <t>Área com azulejo</t>
  </si>
  <si>
    <t>(71,65+150,30)*(2)-38,30</t>
  </si>
  <si>
    <t>Área total das paredes x2 (duas faces)</t>
  </si>
  <si>
    <t>221,95*(2)-38,30</t>
  </si>
  <si>
    <t>Estacas s/ pilares</t>
  </si>
  <si>
    <t>Estacas c/ pilares</t>
  </si>
  <si>
    <t>(2,3*4*13*,617)+(3*4*14*,617)</t>
  </si>
  <si>
    <t>,52*13*27*,109</t>
  </si>
  <si>
    <t>24*4</t>
  </si>
  <si>
    <t>Comprimento dos arranques</t>
  </si>
  <si>
    <t>1,2*4*14*,109</t>
  </si>
  <si>
    <t>84,72*4,00*0,617</t>
  </si>
  <si>
    <t>564*0,74*0,109</t>
  </si>
  <si>
    <t>(10,17-3,56)*1,30</t>
  </si>
  <si>
    <t>ALVENARIA DE EMBASAMENTO</t>
  </si>
  <si>
    <t>84,72*0,2*0,15</t>
  </si>
  <si>
    <t>73992/001</t>
  </si>
  <si>
    <t>LOCACAO CONVENCIONAL DE OBRA, ATRAVÉS DE GABARITO DE TABUAS CORRIDAS PONTALETADAS A CADA 1,50M, SEM REAPROVEITAMENTO</t>
  </si>
  <si>
    <t>M²</t>
  </si>
  <si>
    <t xml:space="preserve"> M²</t>
  </si>
  <si>
    <t>02.04.002</t>
  </si>
  <si>
    <t>ACO CA 50 (A OU B) FYK= 500 M PA</t>
  </si>
  <si>
    <t>KG</t>
  </si>
  <si>
    <t>02.04.003</t>
  </si>
  <si>
    <t>ACO CA 60 (A OU B) FYK= 600 M PA</t>
  </si>
  <si>
    <t>02.02.100</t>
  </si>
  <si>
    <t>ESTACA ESCAVADA MECANICAMENTE DIAM 25CM</t>
  </si>
  <si>
    <t>02.03.001</t>
  </si>
  <si>
    <t>FORMA DE MADEIRA MACICA</t>
  </si>
  <si>
    <t>M³</t>
  </si>
  <si>
    <t>01.05.001</t>
  </si>
  <si>
    <t>ESCAVACAO MANUAL - PROFUNDIDADE ATE 1.80 M</t>
  </si>
  <si>
    <t>16.02.071</t>
  </si>
  <si>
    <t>LASTRO DE PEDRA BRITADA - 5CM</t>
  </si>
  <si>
    <t>16.14.038</t>
  </si>
  <si>
    <t>CONCRETO DOSADO E LANCADO FCK=25 MPA</t>
  </si>
  <si>
    <t>16.13.015</t>
  </si>
  <si>
    <t>REATERRO INTERNO APILOADO</t>
  </si>
  <si>
    <t>02.06.003</t>
  </si>
  <si>
    <t>ALVENARIA EMBASAMENTO TIJOLO BARRO MACIÇO E = 1 TIJOLO</t>
  </si>
  <si>
    <t>16.15.003</t>
  </si>
  <si>
    <t>VERGA / CINTA EM BLOCO DE CONCRETO CANALETA 14X19X39 CM</t>
  </si>
  <si>
    <t>UN</t>
  </si>
  <si>
    <t>06.01.025</t>
  </si>
  <si>
    <t>CAIXILHOS DE FERRO -BASCULANTES</t>
  </si>
  <si>
    <t>14.01.004</t>
  </si>
  <si>
    <t>VIDRO LISO COMUM INCOLOR DE 4MM</t>
  </si>
  <si>
    <t>12.02.002</t>
  </si>
  <si>
    <t>CHAPISCO</t>
  </si>
  <si>
    <t>12.02.005</t>
  </si>
  <si>
    <t>EMBOCO</t>
  </si>
  <si>
    <t>12.02.007</t>
  </si>
  <si>
    <t>REBOCO</t>
  </si>
  <si>
    <t>12.02.036</t>
  </si>
  <si>
    <t>REVESTIMENTO COM AZULEJOS LISOS, BRANCO BRILHANTE</t>
  </si>
  <si>
    <t>13.80.002</t>
  </si>
  <si>
    <t>LASTRO DE CONCRETO</t>
  </si>
  <si>
    <t>PAVIMENTAÇÃO INTERNA</t>
  </si>
  <si>
    <t>IMPERMEABILIZAÇÃO</t>
  </si>
  <si>
    <t>16.15.029</t>
  </si>
  <si>
    <t>IMPERMEABILIZAÇÃO COM ARGAMASSA CIM/AREIA 1:3 COM HIDROFOGO</t>
  </si>
  <si>
    <t>INTERNA</t>
  </si>
  <si>
    <t>15.02.026</t>
  </si>
  <si>
    <t>TINTA LATEX STANDARD COM MASSA NIVELADORA</t>
  </si>
  <si>
    <t>EXTERNA</t>
  </si>
  <si>
    <t>SUPERFÍCIE METÁLICA</t>
  </si>
  <si>
    <t>15.01.004</t>
  </si>
  <si>
    <t>ESMALTE EM ESTRUTURA METALICA</t>
  </si>
  <si>
    <t>15.03.021</t>
  </si>
  <si>
    <t>ESMALTE EM ESQUADRIAS DE FERRO</t>
  </si>
  <si>
    <t>16.11.005</t>
  </si>
  <si>
    <t>LIMPEZA DA OBRA</t>
  </si>
  <si>
    <t>13.80.007</t>
  </si>
  <si>
    <t>PISO DE CONCRETO FCK=25MPA E=5CM</t>
  </si>
  <si>
    <t>13.50.001</t>
  </si>
  <si>
    <t>DEMOLICAO PISO DE CONCRETO SIMPLES CAPEADO</t>
  </si>
  <si>
    <t>08.16.003</t>
  </si>
  <si>
    <t>BACIA SANITÁRIA INFANTIL</t>
  </si>
  <si>
    <t>08.15.018</t>
  </si>
  <si>
    <t>LT-06 LAVATÓRIO COLETIVO COM TORNEIRA ANTIVANDALISMO</t>
  </si>
  <si>
    <t>INSTALAÇÕES ELÉTRICAS</t>
  </si>
  <si>
    <t>09.02.043</t>
  </si>
  <si>
    <t>DPS - DISPOSITIVO PROTECAO CONTRA SURTOS (ENERGIA)</t>
  </si>
  <si>
    <t>09.04.036</t>
  </si>
  <si>
    <t>INTERRUPTOR AUTOM. DIFERENCIAL (DISPOSITIVO DR) 40A/30MA</t>
  </si>
  <si>
    <t>1.4</t>
  </si>
  <si>
    <t>1.5</t>
  </si>
  <si>
    <t>1.6</t>
  </si>
  <si>
    <t>CARGA E DESCARGA MECANIZADAS DE ENTULHO EM CAMINHAO BASCULANTE 6 M3</t>
  </si>
  <si>
    <t>TRANSPORTE DE ENTULHO COM CAMINHAO BASCULANTE 6 M3, RODOVIA PAVIMENTADA, DMT 0,5 A 1,0 KM</t>
  </si>
  <si>
    <t xml:space="preserve">JANELAS </t>
  </si>
  <si>
    <t>ESTACAS</t>
  </si>
  <si>
    <t>ARRANQUE DE PILARES</t>
  </si>
  <si>
    <t>2.5</t>
  </si>
  <si>
    <t>2.6</t>
  </si>
  <si>
    <t>2.7</t>
  </si>
  <si>
    <t>2.8</t>
  </si>
  <si>
    <t>2.9</t>
  </si>
  <si>
    <t>2.10</t>
  </si>
  <si>
    <t>3.4</t>
  </si>
  <si>
    <t>3.5</t>
  </si>
  <si>
    <t>3.6</t>
  </si>
  <si>
    <t>3.7</t>
  </si>
  <si>
    <t>3.8</t>
  </si>
  <si>
    <t>3.9</t>
  </si>
  <si>
    <t>PILARES</t>
  </si>
  <si>
    <t>VIGAS</t>
  </si>
  <si>
    <t>VERGAS</t>
  </si>
  <si>
    <t>INSTALAÇÕES HIDROSSANITÁRIAS</t>
  </si>
  <si>
    <t>LAJES</t>
  </si>
  <si>
    <t>PLACA DE OBRA EM CHAPA DE ACO GALVANIZADO</t>
  </si>
  <si>
    <t>PLACA DE OBRA</t>
  </si>
  <si>
    <t>DEMOLIÇÃO</t>
  </si>
  <si>
    <t>LIMPEZA DO TERRENO</t>
  </si>
  <si>
    <t>LOCAÇÃO DA OBRA</t>
  </si>
  <si>
    <t>73822/002</t>
  </si>
  <si>
    <t>LIMPEZA MECANIZADA DE TERRENO COM REMOCAO DE CAMADA VEGETAL, UTILIZANDO MOTONIVELADORA</t>
  </si>
  <si>
    <t>VIGAS BALDRAMES E BLOCOS</t>
  </si>
  <si>
    <t>3.10</t>
  </si>
  <si>
    <t>74141/001</t>
  </si>
  <si>
    <t>LAJE PRE-MOLD BETA 11 P/1KN/M2 VAOS 4,40M/INCL VIGOTAS TIJOLOS ARMADURA NEGATIVA CAPEAMENTO 3CM CONCRETO 20MPA ESCORAMENTO MATERIAL E MAO DE OBRA.</t>
  </si>
  <si>
    <t>15.02.019</t>
  </si>
  <si>
    <t xml:space="preserve">ESMALTE </t>
  </si>
  <si>
    <t>13.02.034</t>
  </si>
  <si>
    <t>GRANILITE CINZA / CIMENTO COMUM 8MM C/ POLIMENTO</t>
  </si>
  <si>
    <t>13.01.004</t>
  </si>
  <si>
    <t>LASTRO DE CONCRETO C/ HIDROFUGO E=5CM</t>
  </si>
  <si>
    <t>05.60.001</t>
  </si>
  <si>
    <t>RETIRADA DE FOLHAS DE PORTAS OU JANELA</t>
  </si>
  <si>
    <t>02.06.002</t>
  </si>
  <si>
    <t>ALVENARIA EMBASAMENTO TIJOLO BARRO MACIÇO E = 1/2 TIJOLO</t>
  </si>
  <si>
    <t>2.11</t>
  </si>
  <si>
    <t>11.5</t>
  </si>
  <si>
    <t>CONTRAVERGA PRÉ-MOLDADA PARA VÃOS DE MAIS DE 1,5 M DE COMPRIMENTO. AF_03/2016_</t>
  </si>
  <si>
    <t>3.11</t>
  </si>
  <si>
    <t>13.05.020</t>
  </si>
  <si>
    <t>RODAPES DE GRANILITE SIMPLES DE 10 CM</t>
  </si>
  <si>
    <t>04.01.033</t>
  </si>
  <si>
    <t>ALVENARIA DE BLOCO DE CONCRETO 14X19X39 CM CLASSE C</t>
  </si>
  <si>
    <t>04.01.034</t>
  </si>
  <si>
    <t>ALVENARIA DE BLOCO DE CONCRETO 19X19X39 CM CLASSE C</t>
  </si>
  <si>
    <t>AMPLIAÇÃO DA C.E.I. BELLA CLARK</t>
  </si>
  <si>
    <t>DESCRIÇÃO DO SERVIÇO OU FORNECIMENTO</t>
  </si>
  <si>
    <t>UNIDADE</t>
  </si>
  <si>
    <t>PREÇO</t>
  </si>
  <si>
    <t>DESCRIÇÃO DO INSUMO</t>
  </si>
  <si>
    <t>COEFICIENTE</t>
  </si>
  <si>
    <t>CUSTO UNITÁRIO</t>
  </si>
  <si>
    <t>CUSTO TOTAL</t>
  </si>
  <si>
    <t>COMP.</t>
  </si>
  <si>
    <t>09.84.020</t>
  </si>
  <si>
    <t>ESPELHO DE 4'X2'</t>
  </si>
  <si>
    <t>SINAPI-I</t>
  </si>
  <si>
    <t>AUXILIAR DE ELETRICISTA COM ENCARGOS COMPLEMENTARES</t>
  </si>
  <si>
    <t>H</t>
  </si>
  <si>
    <t>ELETRICISTA COM ENCARGOS COMPLEMENTARES</t>
  </si>
  <si>
    <t>VENTILADOR DE TETO - 127V</t>
  </si>
  <si>
    <t>COTAÇÃO</t>
  </si>
  <si>
    <t>-</t>
  </si>
  <si>
    <t xml:space="preserve">COTAÇÃO </t>
  </si>
  <si>
    <t>COMPOSIÇÕES</t>
  </si>
  <si>
    <t>CRONOGRAMA FISICO FINANCEIRO</t>
  </si>
  <si>
    <t>PROPONENTE: Prefeitura Municipal de Birigui</t>
  </si>
  <si>
    <t>VALOR</t>
  </si>
  <si>
    <t>PESO (%)</t>
  </si>
  <si>
    <t>Mês 1</t>
  </si>
  <si>
    <t>Mês 2</t>
  </si>
  <si>
    <t>Mês 3</t>
  </si>
  <si>
    <t>Mês 4</t>
  </si>
  <si>
    <t>Mês 5</t>
  </si>
  <si>
    <t>Mês 6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</si>
  <si>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</si>
  <si>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</si>
  <si>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</si>
  <si>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</si>
  <si>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</si>
  <si>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</si>
  <si>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</si>
  <si>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</si>
  <si>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</si>
  <si>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</si>
  <si>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</si>
  <si>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</si>
  <si>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</si>
  <si>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</si>
  <si>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</si>
  <si>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TOTAIS</t>
  </si>
  <si>
    <t>OBJETO: Ampliação da CEI Bella Clark</t>
  </si>
  <si>
    <t>LOCAL: Rua Fioravante Zin, nº 100 - Jardim Ipanema, Cidade Birigui - SP.</t>
  </si>
  <si>
    <t>5.4</t>
  </si>
  <si>
    <t>TOTAL ACUMULADO (R$)</t>
  </si>
  <si>
    <t>TOTAL ACUMULADO   (%)</t>
  </si>
  <si>
    <t>11.6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</si>
  <si>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</si>
  <si>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</si>
  <si>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</si>
  <si>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</si>
  <si>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</si>
  <si>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</si>
  <si>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</si>
  <si>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</si>
  <si>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</si>
  <si>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</si>
  <si>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</si>
  <si>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</si>
  <si>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</si>
  <si>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</si>
  <si>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</si>
  <si>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</si>
  <si>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</si>
  <si>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</si>
  <si>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08.16.050</t>
  </si>
  <si>
    <t>SABONETEIRA DE LOUCA BRANCA DE 7,5X15 CM</t>
  </si>
  <si>
    <t>08.16.065</t>
  </si>
  <si>
    <t>PAPELEIRA DE LOUCA BRANCA DE 15X15CM</t>
  </si>
  <si>
    <t>44.03.180</t>
  </si>
  <si>
    <t>PM-05 PORTA DE MADEIRA SARRAFEADA P/ PINT. BAT. MADEIRA L=92CM</t>
  </si>
  <si>
    <t>05.01.005</t>
  </si>
  <si>
    <t>06.02.026</t>
  </si>
  <si>
    <t>PF-23 PORTA DE FERRO C/ BANDEIRA EM CHAPA PERFURADA L=140CM</t>
  </si>
  <si>
    <t>13.02.100</t>
  </si>
  <si>
    <t>CERAMICA ESMALT.ANTIDER. ABSORÇÃO DE AGUA 3% A 8% PEI 4/5 COEF.ATRITO MINIMO 0,4 USO EXCLUSIVO PADRAO CRECHE</t>
  </si>
  <si>
    <t>15.03.006</t>
  </si>
  <si>
    <t>ESMALTE SEM MASSA NIVELADORA EM ESQUADRIAS DE MADEIRA</t>
  </si>
  <si>
    <t>SUPERFÍCIE DE MADEIRA</t>
  </si>
  <si>
    <t>PRATELEIRAS</t>
  </si>
  <si>
    <t>05.05.064</t>
  </si>
  <si>
    <t>PR-08 PRATELEIRA DE GRANITO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</si>
  <si>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</si>
  <si>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</si>
  <si>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</si>
  <si>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</si>
  <si>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</si>
  <si>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</si>
  <si>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</si>
  <si>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</si>
  <si>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</si>
  <si>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</si>
  <si>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16.0</t>
  </si>
  <si>
    <t>15.02.003</t>
  </si>
  <si>
    <t>MASSA NIVELADORA PARA INTERIOR</t>
  </si>
  <si>
    <t>DISJUNTOR MONOPOLAR TIPO DIN, CORRENTE NOMINAL DE 25A - FORNECIMENTO E INSTALAÇÃO. AF_04/2016</t>
  </si>
  <si>
    <t>DISJUNTOR BIPOLAR TIPO DIN, CORRENTE NOMINAL DE 40A - FORNECIMENTO E INSTALAÇÃO. AF_04/2016</t>
  </si>
  <si>
    <t>DISJUNTOR TRIPOLAR TIPO DIN, CORRENTE NOMINAL DE 25A - FORNECIMENTO E INSTALAÇÃO. AF_04/2016</t>
  </si>
  <si>
    <t>37.13.660</t>
  </si>
  <si>
    <t>DISJUNTOR TERMOMAGNÉTICO, TRIPOLAR 220/380 V, CORRENTE DE 60 A ATÉ 100 A</t>
  </si>
  <si>
    <t>09.04.079</t>
  </si>
  <si>
    <t>QUADRO GERAL - CABO DE COBRE NU DE 35 MM2</t>
  </si>
  <si>
    <t>39.02.016</t>
  </si>
  <si>
    <t>CABO DE COBRE DE 2,5 MM², ISOLAMENTO 750 V - ISOLAÇÃO EM PVC 70°C</t>
  </si>
  <si>
    <t>39.02.030</t>
  </si>
  <si>
    <t>CABO DE COBRE DE 6 MM², ISOLAMENTO 750 V - ISOLAÇÃO EM PVC 70°C</t>
  </si>
  <si>
    <t>40.07.010</t>
  </si>
  <si>
    <t>CAIXA EM PVC DE 4´ X 2´</t>
  </si>
  <si>
    <t>08.17.041</t>
  </si>
  <si>
    <t>CHUVEIRO ELETRICO COM RESISTENCIA BLINDADA</t>
  </si>
  <si>
    <t>CAIXA OCTOGONAL 4" X 4", PVC, INSTALADA EM LAJE - FORNECIMENTO E INSTALAÇÃO. AF_12/2015</t>
  </si>
  <si>
    <t>CAIXA DE PASSAGEM DE ALVENARIA 50X50X100CM COM TAMPA DE CONCRETO E DRENO</t>
  </si>
  <si>
    <t>40.05.040</t>
  </si>
  <si>
    <t>INTERRUPTOR COM 2 TECLAS SIMPLES E PLACA</t>
  </si>
  <si>
    <t>40.04.460</t>
  </si>
  <si>
    <t>TOMADA 2P+T DE 20 A - 250 V, COMPLETA</t>
  </si>
  <si>
    <t>CJ</t>
  </si>
  <si>
    <t>74131/006</t>
  </si>
  <si>
    <t>QUADRO DE DISTRIBUICAO DE ENERGIA DE EMBUTIR, EM CHAPA METALICA, PARA 32 DISJUNTORES TERMOMAGNETICOS MONOPOLARES, COM BARRAMENTO TRIFASICO E NEUTRO, FORNECIMENTO E INSTALACAO</t>
  </si>
  <si>
    <t>40.05.080</t>
  </si>
  <si>
    <t>INTERRUPTOR COM 1 TECLA PARALELO E PLACA</t>
  </si>
  <si>
    <t>40.04.480</t>
  </si>
  <si>
    <t>CONJUNTO 1 INTERRUPTOR SIMPLES E 1 TOMADA 2P+T DE 10 A, COMPLETO</t>
  </si>
  <si>
    <t>ÁGUA FRIA</t>
  </si>
  <si>
    <t>REGISTRO DE GAVETA BRUTO, LATÃO, ROSCÁVEL, 2 1/2, INSTALADO EM RESERVAÇÃO DE ÁGUA DE EDIFICAÇÃO QUE POSSUA RESERVATÓRIO DE FIBRA/FIBROCIMENTO FORNECIMENTO E INSTALAÇÃO. AF_06/2016</t>
  </si>
  <si>
    <t>REGISTRO DE GAVETA BRUTO, LATÃO, ROSCÁVEL, 2, INSTALADO EM RESERVAÇÃO DE ÁGUA DE EDIFICAÇÃO QUE POSSUA RESERVATÓRIO DE FIBRA/FIBROCIMENTO FORNECIMENTO E INSTALAÇÃO. AF_06/2016</t>
  </si>
  <si>
    <t>TUBO, PVC, SOLDÁVEL, DN 25MM, INSTALADO EM RAMAL OU SUB-RAMAL DE ÁGUA - FORNECIMENTO E INSTALAÇÃO. AF_12/2014</t>
  </si>
  <si>
    <t>REGISTRO DE GAVETA BRUTO, LATÃO, ROSCÁVEL, 3/4, INSTALADO EM RESERVAÇÃO DE ÁGUA DE EDIFICAÇÃO QUE POSSUA RESERVATÓRIO DE FIBRA/FIBROCIMENTO FORNECIMENTO E INSTALAÇÃO. AF_06/2016</t>
  </si>
  <si>
    <t>47.02.110</t>
  </si>
  <si>
    <t>REGISTRO DE PRESSÃO EM LATÃO FUNDIDO CROMADO COM CANOPLA, DN= 3/4´ - LINHA ESPECIAL</t>
  </si>
  <si>
    <t>08.04.051</t>
  </si>
  <si>
    <t>VALVULA DE DESCARGA C/REG INCORP DN 32MM (1 1/4") C/ ACAB SIMPLES</t>
  </si>
  <si>
    <t>44.20.110</t>
  </si>
  <si>
    <t>ENGATE FLEXÍVEL DE PVC DN= 1/2´</t>
  </si>
  <si>
    <t>LUVA SOLDÁVEL E COM ROSCA, PVC, SOLDÁVEL, DN 25MM X 3/4, INSTALADO EM RAMAL OU SUB-RAMAL DE ÁGUA - FORNECIMENTO E INSTALAÇÃO. AF_12/2014</t>
  </si>
  <si>
    <t>ADAPTADOR COM FLANGES LIVRES, PVC, SOLDÁVEL, DN 75 MM X 2 1/2 , INSTALADO EM RESERVAÇÃO DE ÁGUA DE EDIFICAÇÃO QUE POSSUA RESERVATÓRIO DE FIBRA/FIBROCIMENTO FORNECIMENTO E INSTALAÇÃO. AF_06/2016</t>
  </si>
  <si>
    <t>ADAPTADOR CURTO COM BOLSA E ROSCA PARA REGISTRO, PVC, SOLDÁVEL, DN 25MM X 3/4, INSTALADO EM RAMAL OU SUB-RAMAL DE ÁGUA - FORNECIMENTO E INSTALAÇÃO. AF_12/2014</t>
  </si>
  <si>
    <t>JOELHO 90 GRAUS COM BUCHA DE LATÃO, PVC, SOLDÁVEL, DN 25 MM, X 3/4 INSTALADO EM RESERVAÇÃO DE ÁGUA DE EDIFICAÇÃO QUE POSSUA RESERVATÓRIO DE FIBRA/FIBROCIMENTO FORNECIMENTO E INSTALAÇÃO. AF_06/2016</t>
  </si>
  <si>
    <t>JOELHO 90 GRAUS, PVC, SOLDÁVEL, DN 25MM, INSTALADO EM RAMAL OU SUB-RAMAL DE ÁGUA - FORNECIMENTO E INSTALAÇÃO. AF_12/2014</t>
  </si>
  <si>
    <t>JOELHO 90 GRAUS, PVC, SOLDÁVEL, DN 50MM, INSTALADO EM PRUMADA DE ÁGUA - FORNECIMENTO E INSTALAÇÃO. AF_12/2014</t>
  </si>
  <si>
    <t>JOELHO 90 GRAUS, PVC, SOLDÁVEL, DN 75MM, INSTALADO EM PRUMADA DE ÁGUA - FORNECIMENTO E INSTALAÇÃO. AF_12/2014</t>
  </si>
  <si>
    <t>TUBO, PVC, SOLDÁVEL, DN 40MM, INSTALADO EM PRUMADA DE ÁGUA - FORNECIMENTO E INSTALAÇÃO. AF_12/2014</t>
  </si>
  <si>
    <t>TUBO, PVC, SOLDÁVEL, DN 50MM, INSTALADO EM PRUMADA DE ÁGUA - FORNECIMENTO E INSTALAÇÃO. AF_12/2014</t>
  </si>
  <si>
    <t>TUBO, PVC, SOLDÁVEL, DN 60MM, INSTALADO EM PRUMADA DE ÁGUA - FORNECIMENTO E INSTALAÇÃO. AF_12/2014</t>
  </si>
  <si>
    <t>TUBO, PVC, SOLDÁVEL, DN 75MM, INSTALADO EM PRUMADA DE ÁGUA - FORNECIMENTO E INSTALAÇÃO. AF_12/2014</t>
  </si>
  <si>
    <t>TE, PVC, SOLDÁVEL, DN 25MM, INSTALADO EM RAMAL OU SUB-RAMAL DE ÁGUA - FORNECIMENTO E INSTALAÇÃO. AF_12/2014</t>
  </si>
  <si>
    <t>TE, PVC, SOLDÁVEL, DN 60MM, INSTALADO EM PRUMADA DE ÁGUA - FORNECIMENTO E INSTALAÇÃO. AF_12/2014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</si>
  <si>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</si>
  <si>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</si>
  <si>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</si>
  <si>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</si>
  <si>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</si>
  <si>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</si>
  <si>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</si>
  <si>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</si>
  <si>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</si>
  <si>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ESGOTO</t>
  </si>
  <si>
    <t>08.10.006</t>
  </si>
  <si>
    <t>CAIXA SIFONADA DE PVC DN 150X150X50MM C/ GRELHA METALICA</t>
  </si>
  <si>
    <t>49.04.010</t>
  </si>
  <si>
    <t>RALO SECO EM PVC RÍGIDO DE 100 X 40 MM, COM GRELHA</t>
  </si>
  <si>
    <t>LUVA SIMPLES, PVC, SERIE NORMAL, ESGOTO PREDIAL, DN 50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</si>
  <si>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</si>
  <si>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12.26</t>
  </si>
  <si>
    <t>12.27</t>
  </si>
  <si>
    <t>12.28</t>
  </si>
  <si>
    <t>12.29</t>
  </si>
  <si>
    <t>12.30</t>
  </si>
  <si>
    <t>12.32</t>
  </si>
  <si>
    <t>12.34</t>
  </si>
  <si>
    <t>12.35</t>
  </si>
  <si>
    <t>12.37</t>
  </si>
  <si>
    <t>CURVA 90° CURTA SÉRIE NORMAL 100MM</t>
  </si>
  <si>
    <t>JOELHO 45° SÉRIE NORMAL 40MM COM BOLSAS LISAS</t>
  </si>
  <si>
    <t>JUNÇÃO SIMPLES SÉRIE NORMAL 40MM COM BOLSAS LISAS</t>
  </si>
  <si>
    <t>07.03.101</t>
  </si>
  <si>
    <t>CUMEEIRA NORMAL P/ TELHA TECNOLOGIA CRFS ONDULADA USO EXCLUSIVO</t>
  </si>
  <si>
    <t>07.80.041</t>
  </si>
  <si>
    <t>TELHA TECNOLOGIA CRFS ONDULADA E=8MM</t>
  </si>
  <si>
    <t>14.22</t>
  </si>
  <si>
    <t>14.24</t>
  </si>
  <si>
    <t>14.25</t>
  </si>
  <si>
    <t>14.26</t>
  </si>
  <si>
    <t>14.27</t>
  </si>
  <si>
    <t>14.28</t>
  </si>
  <si>
    <t>14.29</t>
  </si>
  <si>
    <t>14.30</t>
  </si>
  <si>
    <t>LUMINÁRIA DE SOBRE POR PARA LÂMPADA TIPO TUBULAR - LED 2x18W</t>
  </si>
  <si>
    <t>LUMINÁRIA DE SOBRE POR PARA LÂMPADA TIPO TUBULAR - LED 2x10W</t>
  </si>
  <si>
    <t>LUMINÁRIA DE SOBRE POR PARA LÂMPADA TIPO TUBULAR - LED 2X18W</t>
  </si>
  <si>
    <t>HASTE TERRA TIPO COPERWELD 5/8" X 2,40M</t>
  </si>
  <si>
    <t>CABO DE COBRE FLEXÍVEL ISOLADO, 25 MM², ANTI-CHAMA 0,6/1,0 KV, PARA DISTRIBUIÇÃO - FORNECIMENTO E INSTALAÇÃO. AF_12/2015</t>
  </si>
  <si>
    <t>CABO DE COBRE FLEXÍVEL ISOLADO, 50 MM², ANTI-CHAMA 0,6/1,0 KV, PARA DISTRIBUIÇÃO - FORNECIMENTO E INSTALAÇÃO. AF_12/2015</t>
  </si>
  <si>
    <r>
      <t xml:space="preserve">ELETRODUTO FLEXÍVEL LISO PAREDE MÍNIMA 3MM - </t>
    </r>
    <r>
      <rPr>
        <sz val="10"/>
        <color rgb="FF000000"/>
        <rFont val="Calibri"/>
        <family val="2"/>
      </rPr>
      <t>φ</t>
    </r>
    <r>
      <rPr>
        <sz val="10"/>
        <color rgb="FF000000"/>
        <rFont val="Arial"/>
        <family val="2"/>
      </rPr>
      <t>1"</t>
    </r>
  </si>
  <si>
    <r>
      <t xml:space="preserve">ELETRODUTO FLEXÍVEL LISO PAREDE MÍNIMA 3MM - </t>
    </r>
    <r>
      <rPr>
        <sz val="10"/>
        <color rgb="FF000000"/>
        <rFont val="Calibri"/>
        <family val="2"/>
      </rPr>
      <t>φ</t>
    </r>
    <r>
      <rPr>
        <sz val="10"/>
        <color rgb="FF000000"/>
        <rFont val="Arial"/>
        <family val="2"/>
      </rPr>
      <t>2"</t>
    </r>
  </si>
  <si>
    <r>
      <t xml:space="preserve">ELETRODUTO FLEXÍVEL LISO PAREDE MÍNIMA 3MM - </t>
    </r>
    <r>
      <rPr>
        <sz val="10"/>
        <color rgb="FF000000"/>
        <rFont val="Calibri"/>
        <family val="2"/>
      </rPr>
      <t>φ</t>
    </r>
    <r>
      <rPr>
        <sz val="10"/>
        <color rgb="FF000000"/>
        <rFont val="Arial"/>
        <family val="2"/>
      </rPr>
      <t>3/4"</t>
    </r>
  </si>
  <si>
    <t>INSTALAÇÃO DE POSTE PADRÃO CPFL - CATEGORIA C6</t>
  </si>
  <si>
    <t>REVESTIMENTO</t>
  </si>
  <si>
    <t>JOELHO 90 GRAUS, PVC, SOLDÁVEL, DN 60MM, INSTALADO EM PRUMADA DE ÁGUA - FORNECIMENTO E INSTALAÇÃO. AF_12/2014</t>
  </si>
  <si>
    <t>ADAPTADOR CURTO COM BOLSA E ROSCA PARA REGISTRO, PVC, SOLDÁVEL, DN 50MM X 1.1/4, INSTALADO EM PRUMADA DE ÁGUA - FORNECIMENTO E INSTALAÇÃO. AF_12/2014</t>
  </si>
  <si>
    <t>ADAPTADOR CURTO COM BOLSA E ROSCA PARA REGISTRO, PVC, SOLDÁVEL, DN 60MM X 2, INSTALADO EM PRUMADA DE ÁGUA - FORNECIMENTO E INSTALAÇÃO. AF_12/2014</t>
  </si>
  <si>
    <t>ADAPTADOR CURTO COM BOLSA E ROSCA PARA REGISTRO, PVC, SOLDÁVEL, DN 75MM X 2.1/2, INSTALADO EM PRUMADA DE ÁGUA - FORNECIMENTO E INSTALAÇÃO. AF_12/2014</t>
  </si>
  <si>
    <t>ADESIVO PLASTICO PARA PVC, FRASCO COM 850 GR</t>
  </si>
  <si>
    <t>SOLUCAO LIMPADORA PARA PVC, FRASCO COM 1000 CM3</t>
  </si>
  <si>
    <t>LIXA D'AGUA EM FOLHA, GRAO 100</t>
  </si>
  <si>
    <t>ENCANADOR OU BOMBEIRO HIDRÁULICO COM ENCARGOS COMPLEMENTARES</t>
  </si>
  <si>
    <t>AUXILIAR DE ENCANADOR OU BOMBEIRO HIDRÁULICO COM ENCARGOS COMPLEMENTARES</t>
  </si>
  <si>
    <t>BUCHA DE REDUÇÃO SOLDÁVEL CURTA 60MM -  50MM</t>
  </si>
  <si>
    <t>BUCHA DE REDUÇÃO SOLDÁVEL CURTA 75MM -  60MM</t>
  </si>
  <si>
    <t>BUCHA DE REDUÇÃO SOLDÁVEL LONGA 50MM -  25MM</t>
  </si>
  <si>
    <t>BUCHA DE REDUÇÃO SOLDÁVEL LONGA 60MM -  50MM</t>
  </si>
  <si>
    <t>TE DE REDUÇÃO 90° SOLDÁVEL 75MM - 60MM</t>
  </si>
  <si>
    <t>JOELHO DE REDUÇÃO 90° SOLDÁVEL COM BUCHA DE LATÃO</t>
  </si>
  <si>
    <t>CAIXA D'ÁGUA 250L</t>
  </si>
  <si>
    <t>CAIXA DE INSPEÇÃO PVC DN 100MM</t>
  </si>
  <si>
    <t>CAIXA DE INSPEÇÃO DN 100MM</t>
  </si>
  <si>
    <t>12.31</t>
  </si>
  <si>
    <t>12.33</t>
  </si>
  <si>
    <t>12.36</t>
  </si>
  <si>
    <t>12.38</t>
  </si>
  <si>
    <t>12.39</t>
  </si>
  <si>
    <t>12.40</t>
  </si>
  <si>
    <t>12.41</t>
  </si>
  <si>
    <t>12.42</t>
  </si>
  <si>
    <t>12.43</t>
  </si>
  <si>
    <t>12.44</t>
  </si>
  <si>
    <t>04.03.002</t>
  </si>
  <si>
    <t>DV-02 DIVISORIA DE GRANILITE - LATERAL FECHADA</t>
  </si>
  <si>
    <t>___________________________________________</t>
  </si>
  <si>
    <t>JOÃO ZEFIRO JUNIOR</t>
  </si>
  <si>
    <t xml:space="preserve">Engenheiro civil </t>
  </si>
  <si>
    <t>CREA: 5069488152</t>
  </si>
  <si>
    <t>07.01.040</t>
  </si>
  <si>
    <t>ESTRUTURA DE COBERTURA EM TERÇA 6X12CM PARA TELHA ONDULADA CRFS SOBRE BASE E PILARETE CONCRETO USO EXCLUSIVO PADRAO CRECHE</t>
  </si>
  <si>
    <t>15.02.025</t>
  </si>
  <si>
    <t xml:space="preserve">TINTA LATEX STANDARD </t>
  </si>
  <si>
    <t>1.3</t>
  </si>
  <si>
    <t>Total Geral =</t>
  </si>
  <si>
    <t>TE, PVC, SERIE NORMAL, ESGOTO PREDIAL, DN 50 X 50 MM, JUNTA ELÁSTICA, FORNECIDO E INSTALADO EM RAMAL DE DESCARGA OU RAMAL DE ESGOTO SANITÁRIO. AF_12/2014</t>
  </si>
  <si>
    <t>12.45</t>
  </si>
  <si>
    <t>JOELHO 90 GRAUS, PVC, SERIE NORMAL, ESGOTO PREDIAL, DN 50 MM, JUNTA ELÁSTICA, FORNECIDO E INSTALADO EM PRUMADA DE ESGOTO SANITÁRIO OU VENTILAÇÃO. AF_12/2014</t>
  </si>
  <si>
    <t xml:space="preserve">PORTAS </t>
  </si>
  <si>
    <t>DISPENSER TOALHEIRO EM ABS, PARA FOLHAS</t>
  </si>
  <si>
    <t>Birigui, 23 de abril de 2018</t>
  </si>
  <si>
    <t>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</si>
</sst>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&quot;R$&quot;\ #,##0.00"/>
    <numFmt numFmtId="169" formatCode="#,##0.0000"/>
    <numFmt numFmtId="170" formatCode="0.0000"/>
  </numFmts>
  <fonts count="22">
    <font>
      <sz val="11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4659260841701"/>
        <bgColor indexed="31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</borders>
  <cellStyleXfs count="19">
    <xf numFmtId="0" fontId="0" fillId="0" borderId="0"/>
    <xf numFmtId="0" fontId="4" fillId="0" borderId="0" applyNumberFormat="0" applyBorder="0" applyProtection="0"/>
    <xf numFmtId="0" fontId="4" fillId="0" borderId="0" applyNumberFormat="0" applyBorder="0" applyProtection="0"/>
    <xf numFmtId="165" fontId="4" fillId="0" borderId="0" applyBorder="0" applyProtection="0"/>
    <xf numFmtId="165" fontId="4" fillId="0" borderId="0" applyBorder="0" applyProtection="0"/>
    <xf numFmtId="0" fontId="5" fillId="0" borderId="0" applyNumberFormat="0" applyBorder="0" applyProtection="0"/>
    <xf numFmtId="0" fontId="4" fillId="0" borderId="0" applyNumberFormat="0" applyBorder="0" applyProtection="0"/>
    <xf numFmtId="166" fontId="5" fillId="0" borderId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1" fillId="0" borderId="0"/>
    <xf numFmtId="9" fontId="1" fillId="0" borderId="0" applyFont="0" applyFill="0" applyBorder="0" applyAlignment="0" applyProtection="0"/>
    <xf numFmtId="0" fontId="7" fillId="0" borderId="0" applyNumberFormat="0" applyBorder="0" applyProtection="0"/>
    <xf numFmtId="167" fontId="7" fillId="0" borderId="0" applyBorder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4" fillId="0" borderId="0" applyBorder="0" applyProtection="0"/>
    <xf numFmtId="0" fontId="9" fillId="0" borderId="0">
      <alignment vertical="top"/>
    </xf>
    <xf numFmtId="9" fontId="16" fillId="0" borderId="0" applyFont="0" applyFill="0" applyBorder="0" applyAlignment="0" applyProtection="0"/>
  </cellStyleXfs>
  <cellXfs count="440">
    <xf numFmtId="0" fontId="0" fillId="0" borderId="0" xfId="0"/>
    <xf numFmtId="0" fontId="1" fillId="0" borderId="0" xfId="10" applyFont="1" applyFill="1" applyAlignment="1">
      <alignment vertical="center"/>
    </xf>
    <xf numFmtId="0" fontId="2" fillId="0" borderId="0" xfId="10" applyFont="1" applyFill="1" applyBorder="1" applyAlignment="1">
      <alignment horizontal="center"/>
    </xf>
    <xf numFmtId="0" fontId="1" fillId="0" borderId="0" xfId="10" applyFont="1" applyFill="1" applyBorder="1" applyAlignment="1">
      <alignment horizontal="left" vertical="center" wrapText="1"/>
    </xf>
    <xf numFmtId="0" fontId="1" fillId="0" borderId="0" xfId="10" applyFont="1" applyFill="1" applyBorder="1" applyAlignment="1">
      <alignment horizontal="center" vertical="center" wrapText="1"/>
    </xf>
    <xf numFmtId="164" fontId="1" fillId="0" borderId="0" xfId="14" applyFont="1" applyFill="1" applyBorder="1" applyAlignment="1">
      <alignment vertical="center" wrapText="1"/>
    </xf>
    <xf numFmtId="0" fontId="1" fillId="0" borderId="0" xfId="10" applyFont="1" applyFill="1" applyBorder="1" applyAlignment="1">
      <alignment vertical="center" wrapText="1"/>
    </xf>
    <xf numFmtId="0" fontId="2" fillId="0" borderId="0" xfId="10" applyFont="1" applyFill="1" applyBorder="1" applyAlignment="1">
      <alignment horizontal="center" vertical="center"/>
    </xf>
    <xf numFmtId="0" fontId="1" fillId="0" borderId="0" xfId="10" applyFont="1" applyFill="1" applyBorder="1" applyAlignment="1">
      <alignment horizontal="center" vertical="center"/>
    </xf>
    <xf numFmtId="0" fontId="1" fillId="0" borderId="0" xfId="10" applyFont="1" applyFill="1" applyBorder="1" applyAlignment="1">
      <alignment vertical="center"/>
    </xf>
    <xf numFmtId="0" fontId="1" fillId="0" borderId="0" xfId="10" applyFont="1" applyFill="1" applyAlignment="1">
      <alignment horizontal="center" vertical="center"/>
    </xf>
    <xf numFmtId="0" fontId="1" fillId="0" borderId="0" xfId="10" applyFont="1" applyFill="1" applyAlignment="1">
      <alignment horizontal="center"/>
    </xf>
    <xf numFmtId="0" fontId="1" fillId="0" borderId="0" xfId="10" applyFont="1" applyFill="1" applyAlignment="1">
      <alignment horizontal="left" vertical="center"/>
    </xf>
    <xf numFmtId="164" fontId="1" fillId="0" borderId="0" xfId="14" applyFont="1" applyFill="1" applyAlignment="1">
      <alignment vertical="center"/>
    </xf>
    <xf numFmtId="164" fontId="1" fillId="0" borderId="0" xfId="14" applyFont="1" applyFill="1" applyBorder="1" applyAlignment="1">
      <alignment horizontal="center" vertical="center" wrapText="1"/>
    </xf>
    <xf numFmtId="164" fontId="1" fillId="0" borderId="0" xfId="14" applyFont="1" applyFill="1" applyBorder="1" applyAlignment="1">
      <alignment horizontal="center" vertical="center"/>
    </xf>
    <xf numFmtId="164" fontId="1" fillId="0" borderId="0" xfId="14" applyFont="1" applyFill="1" applyAlignment="1">
      <alignment horizontal="center" vertical="center"/>
    </xf>
    <xf numFmtId="164" fontId="1" fillId="4" borderId="1" xfId="14" applyFont="1" applyFill="1" applyBorder="1" applyAlignment="1">
      <alignment horizontal="center" vertical="center"/>
    </xf>
    <xf numFmtId="0" fontId="1" fillId="4" borderId="0" xfId="10" applyFont="1" applyFill="1" applyAlignment="1">
      <alignment vertical="center"/>
    </xf>
    <xf numFmtId="0" fontId="1" fillId="0" borderId="0" xfId="10" applyFont="1" applyFill="1" applyBorder="1" applyAlignment="1">
      <alignment horizontal="right" vertical="center" wrapText="1"/>
    </xf>
    <xf numFmtId="43" fontId="1" fillId="0" borderId="0" xfId="10" applyNumberFormat="1" applyFont="1" applyFill="1" applyAlignment="1">
      <alignment vertical="center"/>
    </xf>
    <xf numFmtId="164" fontId="1" fillId="4" borderId="9" xfId="14" applyFont="1" applyFill="1" applyBorder="1" applyAlignment="1">
      <alignment horizontal="center" vertical="center"/>
    </xf>
    <xf numFmtId="0" fontId="2" fillId="6" borderId="9" xfId="10" applyFont="1" applyFill="1" applyBorder="1" applyAlignment="1">
      <alignment vertical="center"/>
    </xf>
    <xf numFmtId="0" fontId="2" fillId="6" borderId="19" xfId="10" applyFont="1" applyFill="1" applyBorder="1" applyAlignment="1">
      <alignment vertical="center"/>
    </xf>
    <xf numFmtId="164" fontId="1" fillId="6" borderId="19" xfId="14" applyFont="1" applyFill="1" applyBorder="1" applyAlignment="1">
      <alignment vertical="center"/>
    </xf>
    <xf numFmtId="0" fontId="1" fillId="6" borderId="0" xfId="10" applyFont="1" applyFill="1" applyAlignment="1">
      <alignment vertical="center"/>
    </xf>
    <xf numFmtId="164" fontId="1" fillId="6" borderId="9" xfId="14" applyFont="1" applyFill="1" applyBorder="1" applyAlignment="1">
      <alignment vertical="center"/>
    </xf>
    <xf numFmtId="0" fontId="2" fillId="7" borderId="0" xfId="0" applyFont="1" applyFill="1" applyBorder="1" applyAlignment="1">
      <alignment wrapText="1"/>
    </xf>
    <xf numFmtId="0" fontId="2" fillId="7" borderId="11" xfId="0" applyFont="1" applyFill="1" applyBorder="1" applyAlignment="1">
      <alignment wrapText="1"/>
    </xf>
    <xf numFmtId="10" fontId="2" fillId="7" borderId="12" xfId="0" applyNumberFormat="1" applyFont="1" applyFill="1" applyBorder="1" applyAlignment="1">
      <alignment horizontal="center" wrapText="1"/>
    </xf>
    <xf numFmtId="4" fontId="2" fillId="7" borderId="16" xfId="0" applyNumberFormat="1" applyFont="1" applyFill="1" applyBorder="1" applyAlignment="1"/>
    <xf numFmtId="14" fontId="2" fillId="7" borderId="14" xfId="0" applyNumberFormat="1" applyFont="1" applyFill="1" applyBorder="1" applyAlignment="1">
      <alignment horizontal="center" wrapText="1"/>
    </xf>
    <xf numFmtId="4" fontId="2" fillId="7" borderId="17" xfId="0" applyNumberFormat="1" applyFont="1" applyFill="1" applyBorder="1" applyAlignment="1">
      <alignment horizontal="center"/>
    </xf>
    <xf numFmtId="164" fontId="2" fillId="6" borderId="1" xfId="14" applyFont="1" applyFill="1" applyBorder="1" applyAlignment="1">
      <alignment horizontal="center" vertical="center" wrapText="1"/>
    </xf>
    <xf numFmtId="10" fontId="1" fillId="0" borderId="9" xfId="10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wrapText="1"/>
    </xf>
    <xf numFmtId="0" fontId="2" fillId="7" borderId="14" xfId="0" applyFont="1" applyFill="1" applyBorder="1" applyAlignment="1">
      <alignment horizontal="center" wrapText="1"/>
    </xf>
    <xf numFmtId="0" fontId="2" fillId="7" borderId="15" xfId="0" applyFont="1" applyFill="1" applyBorder="1" applyAlignment="1">
      <alignment wrapText="1"/>
    </xf>
    <xf numFmtId="14" fontId="2" fillId="7" borderId="17" xfId="0" applyNumberFormat="1" applyFont="1" applyFill="1" applyBorder="1" applyAlignment="1">
      <alignment horizontal="center" wrapText="1"/>
    </xf>
    <xf numFmtId="0" fontId="11" fillId="0" borderId="0" xfId="0" applyFont="1"/>
    <xf numFmtId="0" fontId="2" fillId="4" borderId="9" xfId="10" applyFont="1" applyFill="1" applyBorder="1" applyAlignment="1">
      <alignment vertical="center"/>
    </xf>
    <xf numFmtId="164" fontId="2" fillId="4" borderId="9" xfId="14" applyFont="1" applyFill="1" applyBorder="1" applyAlignment="1">
      <alignment vertical="center"/>
    </xf>
    <xf numFmtId="10" fontId="1" fillId="4" borderId="9" xfId="10" applyNumberFormat="1" applyFont="1" applyFill="1" applyBorder="1" applyAlignment="1">
      <alignment horizontal="center" vertical="center"/>
    </xf>
    <xf numFmtId="164" fontId="1" fillId="6" borderId="20" xfId="14" applyFont="1" applyFill="1" applyBorder="1" applyAlignment="1">
      <alignment vertical="center"/>
    </xf>
    <xf numFmtId="164" fontId="1" fillId="4" borderId="18" xfId="14" applyFont="1" applyFill="1" applyBorder="1" applyAlignment="1">
      <alignment horizontal="center" vertical="center"/>
    </xf>
    <xf numFmtId="164" fontId="1" fillId="6" borderId="18" xfId="14" applyFont="1" applyFill="1" applyBorder="1" applyAlignment="1">
      <alignment vertical="center"/>
    </xf>
    <xf numFmtId="164" fontId="2" fillId="4" borderId="18" xfId="14" applyFont="1" applyFill="1" applyBorder="1" applyAlignment="1">
      <alignment vertical="center"/>
    </xf>
    <xf numFmtId="0" fontId="1" fillId="0" borderId="0" xfId="10" applyFont="1" applyFill="1" applyAlignment="1">
      <alignment horizontal="left" vertical="center" wrapText="1"/>
    </xf>
    <xf numFmtId="0" fontId="1" fillId="0" borderId="0" xfId="10" applyFont="1" applyFill="1" applyAlignment="1">
      <alignment vertical="center" wrapText="1"/>
    </xf>
    <xf numFmtId="0" fontId="2" fillId="8" borderId="1" xfId="10" applyFont="1" applyFill="1" applyBorder="1" applyAlignment="1">
      <alignment horizontal="center"/>
    </xf>
    <xf numFmtId="0" fontId="1" fillId="8" borderId="0" xfId="10" applyFont="1" applyFill="1" applyAlignment="1">
      <alignment vertical="center"/>
    </xf>
    <xf numFmtId="0" fontId="1" fillId="0" borderId="0" xfId="10" applyFont="1" applyFill="1" applyBorder="1" applyAlignment="1">
      <alignment horizontal="center"/>
    </xf>
    <xf numFmtId="0" fontId="1" fillId="0" borderId="0" xfId="10" applyFont="1" applyFill="1" applyBorder="1" applyAlignment="1">
      <alignment horizontal="center"/>
    </xf>
    <xf numFmtId="0" fontId="1" fillId="0" borderId="24" xfId="10" applyFont="1" applyFill="1" applyBorder="1" applyAlignment="1">
      <alignment horizontal="center"/>
    </xf>
    <xf numFmtId="49" fontId="2" fillId="2" borderId="1" xfId="10" applyNumberFormat="1" applyFont="1" applyFill="1" applyBorder="1" applyAlignment="1">
      <alignment horizontal="center" vertical="center"/>
    </xf>
    <xf numFmtId="4" fontId="1" fillId="0" borderId="25" xfId="10" applyNumberFormat="1" applyFont="1" applyFill="1" applyBorder="1" applyAlignment="1">
      <alignment vertical="center"/>
    </xf>
    <xf numFmtId="0" fontId="2" fillId="2" borderId="27" xfId="10" applyFont="1" applyFill="1" applyBorder="1" applyAlignment="1">
      <alignment vertical="center"/>
    </xf>
    <xf numFmtId="164" fontId="2" fillId="2" borderId="27" xfId="14" applyFont="1" applyFill="1" applyBorder="1" applyAlignment="1">
      <alignment vertical="center"/>
    </xf>
    <xf numFmtId="0" fontId="2" fillId="2" borderId="30" xfId="10" applyFont="1" applyFill="1" applyBorder="1" applyAlignment="1">
      <alignment vertical="center"/>
    </xf>
    <xf numFmtId="164" fontId="1" fillId="0" borderId="0" xfId="14" applyFont="1" applyFill="1" applyAlignment="1">
      <alignment horizontal="center" vertical="center"/>
    </xf>
    <xf numFmtId="164" fontId="2" fillId="2" borderId="30" xfId="14" applyFont="1" applyFill="1" applyBorder="1" applyAlignment="1">
      <alignment horizontal="right" vertical="center"/>
    </xf>
    <xf numFmtId="0" fontId="2" fillId="2" borderId="27" xfId="10" applyFont="1" applyFill="1" applyBorder="1" applyAlignment="1">
      <alignment horizontal="center" vertical="center"/>
    </xf>
    <xf numFmtId="0" fontId="2" fillId="2" borderId="30" xfId="10" applyFont="1" applyFill="1" applyBorder="1" applyAlignment="1">
      <alignment horizontal="center" vertical="center"/>
    </xf>
    <xf numFmtId="49" fontId="2" fillId="6" borderId="1" xfId="10" applyNumberFormat="1" applyFont="1" applyFill="1" applyBorder="1" applyAlignment="1">
      <alignment horizontal="center" vertical="center" wrapText="1"/>
    </xf>
    <xf numFmtId="4" fontId="2" fillId="6" borderId="1" xfId="10" applyNumberFormat="1" applyFont="1" applyFill="1" applyBorder="1" applyAlignment="1">
      <alignment horizontal="center" vertical="center" wrapText="1"/>
    </xf>
    <xf numFmtId="0" fontId="1" fillId="0" borderId="34" xfId="10" applyFont="1" applyFill="1" applyBorder="1" applyAlignment="1">
      <alignment horizontal="center"/>
    </xf>
    <xf numFmtId="164" fontId="1" fillId="0" borderId="24" xfId="14" applyFont="1" applyFill="1" applyBorder="1" applyAlignment="1">
      <alignment horizontal="center" vertical="center"/>
    </xf>
    <xf numFmtId="0" fontId="1" fillId="0" borderId="35" xfId="10" applyFont="1" applyFill="1" applyBorder="1" applyAlignment="1">
      <alignment horizontal="center" vertical="center"/>
    </xf>
    <xf numFmtId="164" fontId="2" fillId="0" borderId="24" xfId="14" applyFont="1" applyFill="1" applyBorder="1" applyAlignment="1">
      <alignment horizontal="center" vertical="center"/>
    </xf>
    <xf numFmtId="0" fontId="2" fillId="0" borderId="35" xfId="10" applyFont="1" applyFill="1" applyBorder="1" applyAlignment="1">
      <alignment horizontal="center" vertical="center"/>
    </xf>
    <xf numFmtId="0" fontId="2" fillId="0" borderId="23" xfId="10" applyFont="1" applyFill="1" applyBorder="1" applyAlignment="1">
      <alignment horizontal="center"/>
    </xf>
    <xf numFmtId="0" fontId="2" fillId="4" borderId="0" xfId="10" applyFont="1" applyFill="1" applyBorder="1" applyAlignment="1">
      <alignment horizontal="center"/>
    </xf>
    <xf numFmtId="0" fontId="1" fillId="0" borderId="21" xfId="10" applyFont="1" applyFill="1" applyBorder="1" applyAlignment="1">
      <alignment horizontal="center"/>
    </xf>
    <xf numFmtId="0" fontId="2" fillId="0" borderId="23" xfId="10" applyFont="1" applyFill="1" applyBorder="1" applyAlignment="1">
      <alignment horizontal="center" vertical="center"/>
    </xf>
    <xf numFmtId="0" fontId="1" fillId="0" borderId="34" xfId="10" applyFont="1" applyFill="1" applyBorder="1" applyAlignment="1">
      <alignment horizontal="center" vertical="center"/>
    </xf>
    <xf numFmtId="0" fontId="1" fillId="0" borderId="21" xfId="10" applyFont="1" applyFill="1" applyBorder="1" applyAlignment="1">
      <alignment horizontal="center" wrapText="1"/>
    </xf>
    <xf numFmtId="0" fontId="1" fillId="0" borderId="23" xfId="10" applyFont="1" applyFill="1" applyBorder="1" applyAlignment="1">
      <alignment horizontal="center" vertical="center"/>
    </xf>
    <xf numFmtId="0" fontId="1" fillId="0" borderId="24" xfId="10" applyFont="1" applyFill="1" applyBorder="1" applyAlignment="1">
      <alignment horizontal="left" vertical="center" wrapText="1"/>
    </xf>
    <xf numFmtId="0" fontId="1" fillId="0" borderId="24" xfId="10" applyFont="1" applyFill="1" applyBorder="1" applyAlignment="1">
      <alignment horizontal="center" vertical="center"/>
    </xf>
    <xf numFmtId="164" fontId="1" fillId="0" borderId="35" xfId="14" applyFont="1" applyFill="1" applyBorder="1" applyAlignment="1">
      <alignment horizontal="center" vertical="center"/>
    </xf>
    <xf numFmtId="0" fontId="1" fillId="0" borderId="0" xfId="10" applyFont="1" applyFill="1" applyAlignment="1">
      <alignment horizontal="center" vertical="center" wrapText="1"/>
    </xf>
    <xf numFmtId="0" fontId="1" fillId="0" borderId="24" xfId="10" applyFont="1" applyFill="1" applyBorder="1" applyAlignment="1">
      <alignment horizontal="center" vertical="center" wrapText="1"/>
    </xf>
    <xf numFmtId="0" fontId="2" fillId="4" borderId="23" xfId="10" applyFont="1" applyFill="1" applyBorder="1" applyAlignment="1">
      <alignment horizontal="center"/>
    </xf>
    <xf numFmtId="164" fontId="1" fillId="0" borderId="0" xfId="14" applyFont="1" applyFill="1" applyAlignment="1">
      <alignment horizontal="center" vertical="center"/>
    </xf>
    <xf numFmtId="44" fontId="2" fillId="6" borderId="28" xfId="14" applyNumberFormat="1" applyFont="1" applyFill="1" applyBorder="1" applyAlignment="1">
      <alignment vertical="center"/>
    </xf>
    <xf numFmtId="44" fontId="2" fillId="6" borderId="31" xfId="14" applyNumberFormat="1" applyFont="1" applyFill="1" applyBorder="1" applyAlignment="1">
      <alignment horizontal="right" vertical="center"/>
    </xf>
    <xf numFmtId="169" fontId="1" fillId="4" borderId="9" xfId="14" applyNumberFormat="1" applyFont="1" applyFill="1" applyBorder="1" applyAlignment="1">
      <alignment horizontal="center" vertical="center"/>
    </xf>
    <xf numFmtId="170" fontId="1" fillId="0" borderId="9" xfId="10" applyNumberFormat="1" applyFont="1" applyFill="1" applyBorder="1" applyAlignment="1">
      <alignment horizontal="center" vertical="center"/>
    </xf>
    <xf numFmtId="0" fontId="2" fillId="2" borderId="26" xfId="10" applyFont="1" applyFill="1" applyBorder="1" applyAlignment="1">
      <alignment horizontal="center" vertical="center"/>
    </xf>
    <xf numFmtId="0" fontId="2" fillId="2" borderId="29" xfId="10" applyFont="1" applyFill="1" applyBorder="1" applyAlignment="1">
      <alignment horizontal="center" vertical="center"/>
    </xf>
    <xf numFmtId="0" fontId="2" fillId="0" borderId="0" xfId="10" applyFont="1" applyFill="1" applyAlignment="1">
      <alignment horizontal="center" vertical="center"/>
    </xf>
    <xf numFmtId="164" fontId="1" fillId="0" borderId="20" xfId="14" applyFont="1" applyFill="1" applyBorder="1" applyAlignment="1">
      <alignment vertical="center"/>
    </xf>
    <xf numFmtId="0" fontId="2" fillId="0" borderId="19" xfId="10" applyFont="1" applyFill="1" applyBorder="1" applyAlignment="1">
      <alignment vertical="center"/>
    </xf>
    <xf numFmtId="164" fontId="1" fillId="0" borderId="19" xfId="14" applyFont="1" applyFill="1" applyBorder="1" applyAlignment="1">
      <alignment vertical="center"/>
    </xf>
    <xf numFmtId="164" fontId="1" fillId="0" borderId="18" xfId="14" applyFont="1" applyFill="1" applyBorder="1" applyAlignment="1">
      <alignment horizontal="center" vertical="center"/>
    </xf>
    <xf numFmtId="164" fontId="1" fillId="0" borderId="9" xfId="14" applyFont="1" applyFill="1" applyBorder="1" applyAlignment="1">
      <alignment horizontal="center" vertical="center"/>
    </xf>
    <xf numFmtId="164" fontId="1" fillId="0" borderId="18" xfId="14" applyFont="1" applyFill="1" applyBorder="1" applyAlignment="1">
      <alignment vertical="center"/>
    </xf>
    <xf numFmtId="0" fontId="2" fillId="0" borderId="9" xfId="10" applyFont="1" applyFill="1" applyBorder="1" applyAlignment="1">
      <alignment vertical="center"/>
    </xf>
    <xf numFmtId="164" fontId="1" fillId="0" borderId="9" xfId="14" applyFont="1" applyFill="1" applyBorder="1" applyAlignment="1">
      <alignment vertical="center"/>
    </xf>
    <xf numFmtId="0" fontId="2" fillId="7" borderId="41" xfId="0" applyFont="1" applyFill="1" applyBorder="1" applyAlignment="1">
      <alignment wrapText="1"/>
    </xf>
    <xf numFmtId="0" fontId="2" fillId="7" borderId="33" xfId="0" applyFont="1" applyFill="1" applyBorder="1" applyAlignment="1">
      <alignment wrapText="1"/>
    </xf>
    <xf numFmtId="4" fontId="2" fillId="7" borderId="42" xfId="0" applyNumberFormat="1" applyFont="1" applyFill="1" applyBorder="1" applyAlignment="1"/>
    <xf numFmtId="0" fontId="13" fillId="9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4" fillId="9" borderId="1" xfId="0" applyFont="1" applyFill="1" applyBorder="1" applyAlignment="1">
      <alignment horizontal="center" vertical="center" wrapText="1"/>
    </xf>
    <xf numFmtId="164" fontId="1" fillId="4" borderId="30" xfId="14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168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4" fontId="15" fillId="4" borderId="1" xfId="14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68" fontId="14" fillId="0" borderId="1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168" fontId="14" fillId="4" borderId="1" xfId="0" applyNumberFormat="1" applyFont="1" applyFill="1" applyBorder="1" applyAlignment="1">
      <alignment horizontal="center" vertical="center"/>
    </xf>
    <xf numFmtId="168" fontId="14" fillId="4" borderId="1" xfId="0" applyNumberFormat="1" applyFont="1" applyFill="1" applyBorder="1" applyAlignment="1">
      <alignment horizontal="center" vertical="center" wrapText="1"/>
    </xf>
    <xf numFmtId="168" fontId="14" fillId="0" borderId="2" xfId="0" applyNumberFormat="1" applyFont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44" fontId="8" fillId="0" borderId="0" xfId="0" applyNumberFormat="1" applyFont="1"/>
    <xf numFmtId="0" fontId="19" fillId="3" borderId="23" xfId="0" applyFont="1" applyFill="1" applyBorder="1"/>
    <xf numFmtId="0" fontId="19" fillId="3" borderId="22" xfId="0" applyFont="1" applyFill="1" applyBorder="1"/>
    <xf numFmtId="44" fontId="19" fillId="3" borderId="22" xfId="0" applyNumberFormat="1" applyFont="1" applyFill="1" applyBorder="1"/>
    <xf numFmtId="0" fontId="8" fillId="3" borderId="22" xfId="0" applyFont="1" applyFill="1" applyBorder="1"/>
    <xf numFmtId="0" fontId="8" fillId="3" borderId="32" xfId="0" applyFont="1" applyFill="1" applyBorder="1"/>
    <xf numFmtId="0" fontId="19" fillId="3" borderId="21" xfId="0" applyFont="1" applyFill="1" applyBorder="1"/>
    <xf numFmtId="0" fontId="19" fillId="3" borderId="0" xfId="0" applyFont="1" applyFill="1" applyBorder="1"/>
    <xf numFmtId="44" fontId="19" fillId="3" borderId="0" xfId="0" applyNumberFormat="1" applyFont="1" applyFill="1" applyBorder="1"/>
    <xf numFmtId="0" fontId="8" fillId="3" borderId="0" xfId="0" applyFont="1" applyFill="1" applyBorder="1"/>
    <xf numFmtId="0" fontId="14" fillId="0" borderId="21" xfId="0" applyFont="1" applyBorder="1"/>
    <xf numFmtId="0" fontId="19" fillId="3" borderId="34" xfId="0" applyFont="1" applyFill="1" applyBorder="1"/>
    <xf numFmtId="0" fontId="19" fillId="3" borderId="24" xfId="0" applyFont="1" applyFill="1" applyBorder="1"/>
    <xf numFmtId="44" fontId="19" fillId="3" borderId="24" xfId="0" applyNumberFormat="1" applyFont="1" applyFill="1" applyBorder="1"/>
    <xf numFmtId="0" fontId="8" fillId="3" borderId="24" xfId="0" applyFont="1" applyFill="1" applyBorder="1"/>
    <xf numFmtId="0" fontId="8" fillId="0" borderId="45" xfId="0" applyFont="1" applyBorder="1"/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8" fillId="4" borderId="54" xfId="0" applyFont="1" applyFill="1" applyBorder="1" applyAlignment="1">
      <alignment horizontal="center" vertical="center"/>
    </xf>
    <xf numFmtId="0" fontId="1" fillId="4" borderId="55" xfId="0" applyFont="1" applyFill="1" applyBorder="1"/>
    <xf numFmtId="44" fontId="1" fillId="4" borderId="55" xfId="0" applyNumberFormat="1" applyFont="1" applyFill="1" applyBorder="1"/>
    <xf numFmtId="2" fontId="1" fillId="4" borderId="22" xfId="0" applyNumberFormat="1" applyFont="1" applyFill="1" applyBorder="1" applyAlignment="1">
      <alignment horizontal="center"/>
    </xf>
    <xf numFmtId="44" fontId="1" fillId="4" borderId="56" xfId="0" applyNumberFormat="1" applyFont="1" applyFill="1" applyBorder="1"/>
    <xf numFmtId="2" fontId="1" fillId="4" borderId="57" xfId="0" applyNumberFormat="1" applyFont="1" applyFill="1" applyBorder="1" applyAlignment="1">
      <alignment horizontal="center" vertical="center"/>
    </xf>
    <xf numFmtId="44" fontId="1" fillId="4" borderId="56" xfId="0" applyNumberFormat="1" applyFont="1" applyFill="1" applyBorder="1" applyAlignment="1">
      <alignment horizontal="center" vertical="center"/>
    </xf>
    <xf numFmtId="2" fontId="1" fillId="4" borderId="58" xfId="0" applyNumberFormat="1" applyFont="1" applyFill="1" applyBorder="1" applyAlignment="1">
      <alignment horizontal="center" vertical="center"/>
    </xf>
    <xf numFmtId="168" fontId="1" fillId="4" borderId="58" xfId="0" applyNumberFormat="1" applyFont="1" applyFill="1" applyBorder="1" applyAlignment="1">
      <alignment horizontal="center" vertical="center"/>
    </xf>
    <xf numFmtId="0" fontId="1" fillId="4" borderId="58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1" fillId="4" borderId="60" xfId="0" applyFont="1" applyFill="1" applyBorder="1"/>
    <xf numFmtId="44" fontId="1" fillId="4" borderId="60" xfId="0" applyNumberFormat="1" applyFont="1" applyFill="1" applyBorder="1"/>
    <xf numFmtId="44" fontId="1" fillId="4" borderId="61" xfId="0" applyNumberFormat="1" applyFont="1" applyFill="1" applyBorder="1"/>
    <xf numFmtId="44" fontId="1" fillId="4" borderId="61" xfId="0" applyNumberFormat="1" applyFont="1" applyFill="1" applyBorder="1" applyAlignment="1">
      <alignment horizontal="center" vertical="center"/>
    </xf>
    <xf numFmtId="168" fontId="1" fillId="4" borderId="57" xfId="0" applyNumberFormat="1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/>
    </xf>
    <xf numFmtId="0" fontId="1" fillId="4" borderId="46" xfId="0" applyFont="1" applyFill="1" applyBorder="1"/>
    <xf numFmtId="4" fontId="1" fillId="4" borderId="57" xfId="0" applyNumberFormat="1" applyFont="1" applyFill="1" applyBorder="1" applyAlignment="1">
      <alignment horizontal="center" vertical="center"/>
    </xf>
    <xf numFmtId="0" fontId="1" fillId="4" borderId="59" xfId="0" applyFont="1" applyFill="1" applyBorder="1"/>
    <xf numFmtId="0" fontId="8" fillId="4" borderId="60" xfId="0" applyFont="1" applyFill="1" applyBorder="1" applyAlignment="1">
      <alignment horizontal="center" vertical="center"/>
    </xf>
    <xf numFmtId="0" fontId="8" fillId="4" borderId="60" xfId="0" applyFont="1" applyFill="1" applyBorder="1"/>
    <xf numFmtId="44" fontId="8" fillId="4" borderId="60" xfId="0" applyNumberFormat="1" applyFont="1" applyFill="1" applyBorder="1"/>
    <xf numFmtId="2" fontId="8" fillId="4" borderId="57" xfId="0" applyNumberFormat="1" applyFont="1" applyFill="1" applyBorder="1" applyAlignment="1">
      <alignment horizontal="center" vertical="center"/>
    </xf>
    <xf numFmtId="4" fontId="8" fillId="4" borderId="57" xfId="0" applyNumberFormat="1" applyFont="1" applyFill="1" applyBorder="1" applyAlignment="1">
      <alignment horizontal="center" vertical="center"/>
    </xf>
    <xf numFmtId="0" fontId="8" fillId="4" borderId="57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4" borderId="46" xfId="0" applyFont="1" applyFill="1" applyBorder="1"/>
    <xf numFmtId="0" fontId="8" fillId="4" borderId="59" xfId="0" applyFont="1" applyFill="1" applyBorder="1"/>
    <xf numFmtId="168" fontId="8" fillId="4" borderId="57" xfId="0" applyNumberFormat="1" applyFont="1" applyFill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59" xfId="0" applyFont="1" applyBorder="1"/>
    <xf numFmtId="44" fontId="8" fillId="0" borderId="60" xfId="0" applyNumberFormat="1" applyFont="1" applyBorder="1"/>
    <xf numFmtId="44" fontId="1" fillId="0" borderId="61" xfId="0" applyNumberFormat="1" applyFont="1" applyBorder="1"/>
    <xf numFmtId="44" fontId="1" fillId="0" borderId="61" xfId="0" applyNumberFormat="1" applyFont="1" applyBorder="1" applyAlignment="1">
      <alignment horizontal="center" vertical="center"/>
    </xf>
    <xf numFmtId="2" fontId="8" fillId="0" borderId="57" xfId="0" applyNumberFormat="1" applyFont="1" applyBorder="1" applyAlignment="1">
      <alignment horizontal="center" vertical="center"/>
    </xf>
    <xf numFmtId="168" fontId="8" fillId="0" borderId="57" xfId="0" applyNumberFormat="1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62" xfId="0" applyFont="1" applyBorder="1"/>
    <xf numFmtId="44" fontId="8" fillId="0" borderId="51" xfId="0" applyNumberFormat="1" applyFont="1" applyBorder="1"/>
    <xf numFmtId="0" fontId="19" fillId="9" borderId="63" xfId="0" applyFont="1" applyFill="1" applyBorder="1"/>
    <xf numFmtId="0" fontId="19" fillId="9" borderId="63" xfId="0" applyFont="1" applyFill="1" applyBorder="1" applyAlignment="1">
      <alignment horizontal="right"/>
    </xf>
    <xf numFmtId="44" fontId="19" fillId="9" borderId="63" xfId="0" applyNumberFormat="1" applyFont="1" applyFill="1" applyBorder="1"/>
    <xf numFmtId="9" fontId="19" fillId="9" borderId="22" xfId="18" applyFont="1" applyFill="1" applyBorder="1" applyAlignment="1">
      <alignment horizontal="center"/>
    </xf>
    <xf numFmtId="44" fontId="19" fillId="9" borderId="64" xfId="0" applyNumberFormat="1" applyFont="1" applyFill="1" applyBorder="1"/>
    <xf numFmtId="10" fontId="19" fillId="9" borderId="65" xfId="18" applyNumberFormat="1" applyFont="1" applyFill="1" applyBorder="1" applyAlignment="1">
      <alignment horizontal="center" vertical="center"/>
    </xf>
    <xf numFmtId="44" fontId="19" fillId="9" borderId="66" xfId="0" applyNumberFormat="1" applyFont="1" applyFill="1" applyBorder="1"/>
    <xf numFmtId="10" fontId="19" fillId="9" borderId="67" xfId="18" applyNumberFormat="1" applyFont="1" applyFill="1" applyBorder="1"/>
    <xf numFmtId="10" fontId="19" fillId="9" borderId="65" xfId="18" applyNumberFormat="1" applyFont="1" applyFill="1" applyBorder="1"/>
    <xf numFmtId="44" fontId="14" fillId="0" borderId="0" xfId="0" applyNumberFormat="1" applyFont="1"/>
    <xf numFmtId="0" fontId="14" fillId="0" borderId="4" xfId="0" applyFont="1" applyBorder="1"/>
    <xf numFmtId="2" fontId="1" fillId="4" borderId="0" xfId="0" applyNumberFormat="1" applyFont="1" applyFill="1" applyBorder="1" applyAlignment="1">
      <alignment horizontal="center"/>
    </xf>
    <xf numFmtId="2" fontId="1" fillId="4" borderId="60" xfId="0" applyNumberFormat="1" applyFont="1" applyFill="1" applyBorder="1" applyAlignment="1">
      <alignment horizontal="center"/>
    </xf>
    <xf numFmtId="2" fontId="1" fillId="4" borderId="59" xfId="0" applyNumberFormat="1" applyFont="1" applyFill="1" applyBorder="1" applyAlignment="1">
      <alignment horizontal="center"/>
    </xf>
    <xf numFmtId="9" fontId="19" fillId="9" borderId="63" xfId="18" applyFont="1" applyFill="1" applyBorder="1" applyAlignment="1">
      <alignment horizontal="center"/>
    </xf>
    <xf numFmtId="0" fontId="14" fillId="0" borderId="8" xfId="0" applyFont="1" applyBorder="1"/>
    <xf numFmtId="164" fontId="1" fillId="3" borderId="30" xfId="14" applyFont="1" applyFill="1" applyBorder="1" applyAlignment="1">
      <alignment horizontal="center" vertical="center"/>
    </xf>
    <xf numFmtId="164" fontId="1" fillId="4" borderId="0" xfId="14" applyFont="1" applyFill="1" applyBorder="1" applyAlignment="1">
      <alignment horizontal="center" vertical="center"/>
    </xf>
    <xf numFmtId="10" fontId="1" fillId="0" borderId="0" xfId="10" applyNumberFormat="1" applyFont="1" applyFill="1" applyBorder="1" applyAlignment="1">
      <alignment horizontal="center" vertical="center"/>
    </xf>
    <xf numFmtId="164" fontId="1" fillId="3" borderId="30" xfId="14" applyFont="1" applyFill="1" applyBorder="1" applyAlignment="1">
      <alignment horizontal="right" vertical="center"/>
    </xf>
    <xf numFmtId="0" fontId="2" fillId="3" borderId="29" xfId="10" applyFont="1" applyFill="1" applyBorder="1" applyAlignment="1">
      <alignment horizontal="center" vertical="center"/>
    </xf>
    <xf numFmtId="0" fontId="2" fillId="3" borderId="30" xfId="10" applyFont="1" applyFill="1" applyBorder="1" applyAlignment="1">
      <alignment horizontal="center" vertical="center"/>
    </xf>
    <xf numFmtId="0" fontId="2" fillId="3" borderId="30" xfId="10" applyFont="1" applyFill="1" applyBorder="1" applyAlignment="1">
      <alignment horizontal="left" vertical="center"/>
    </xf>
    <xf numFmtId="0" fontId="8" fillId="0" borderId="46" xfId="0" applyFont="1" applyBorder="1"/>
    <xf numFmtId="44" fontId="8" fillId="0" borderId="46" xfId="0" applyNumberFormat="1" applyFont="1" applyBorder="1"/>
    <xf numFmtId="0" fontId="8" fillId="0" borderId="60" xfId="0" applyFont="1" applyBorder="1"/>
    <xf numFmtId="164" fontId="2" fillId="6" borderId="1" xfId="14" applyFont="1" applyFill="1" applyBorder="1" applyAlignment="1">
      <alignment horizontal="right" vertical="center" wrapText="1"/>
    </xf>
    <xf numFmtId="164" fontId="1" fillId="2" borderId="27" xfId="14" applyFont="1" applyFill="1" applyBorder="1" applyAlignment="1">
      <alignment horizontal="right" vertical="center"/>
    </xf>
    <xf numFmtId="164" fontId="1" fillId="2" borderId="30" xfId="14" applyFont="1" applyFill="1" applyBorder="1" applyAlignment="1">
      <alignment horizontal="right" vertical="center"/>
    </xf>
    <xf numFmtId="0" fontId="2" fillId="2" borderId="30" xfId="10" applyFont="1" applyFill="1" applyBorder="1" applyAlignment="1">
      <alignment horizontal="right" vertical="center"/>
    </xf>
    <xf numFmtId="0" fontId="1" fillId="0" borderId="0" xfId="10" applyFont="1" applyFill="1" applyAlignment="1">
      <alignment horizontal="right" vertical="center"/>
    </xf>
    <xf numFmtId="0" fontId="13" fillId="9" borderId="1" xfId="0" applyFont="1" applyFill="1" applyBorder="1" applyAlignment="1">
      <alignment horizontal="center" vertical="center"/>
    </xf>
    <xf numFmtId="0" fontId="2" fillId="2" borderId="30" xfId="10" applyFont="1" applyFill="1" applyBorder="1" applyAlignment="1">
      <alignment vertical="center" wrapText="1"/>
    </xf>
    <xf numFmtId="0" fontId="14" fillId="4" borderId="1" xfId="0" applyFont="1" applyFill="1" applyBorder="1" applyAlignment="1">
      <alignment wrapText="1"/>
    </xf>
    <xf numFmtId="0" fontId="14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/>
    <xf numFmtId="2" fontId="14" fillId="4" borderId="1" xfId="0" applyNumberFormat="1" applyFont="1" applyFill="1" applyBorder="1" applyAlignment="1">
      <alignment horizontal="center" vertical="center"/>
    </xf>
    <xf numFmtId="0" fontId="12" fillId="0" borderId="0" xfId="1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2" fillId="9" borderId="36" xfId="10" applyFont="1" applyFill="1" applyBorder="1" applyAlignment="1">
      <alignment horizontal="center" vertical="center"/>
    </xf>
    <xf numFmtId="0" fontId="2" fillId="9" borderId="37" xfId="10" applyFont="1" applyFill="1" applyBorder="1" applyAlignment="1">
      <alignment horizontal="center" vertical="center"/>
    </xf>
    <xf numFmtId="0" fontId="2" fillId="9" borderId="37" xfId="10" applyFont="1" applyFill="1" applyBorder="1" applyAlignment="1">
      <alignment vertical="center"/>
    </xf>
    <xf numFmtId="164" fontId="1" fillId="9" borderId="37" xfId="14" applyFont="1" applyFill="1" applyBorder="1" applyAlignment="1">
      <alignment horizontal="right" vertical="center"/>
    </xf>
    <xf numFmtId="164" fontId="2" fillId="9" borderId="37" xfId="14" applyFont="1" applyFill="1" applyBorder="1" applyAlignment="1">
      <alignment vertical="center"/>
    </xf>
    <xf numFmtId="44" fontId="2" fillId="9" borderId="38" xfId="14" applyNumberFormat="1" applyFont="1" applyFill="1" applyBorder="1" applyAlignment="1">
      <alignment vertical="center"/>
    </xf>
    <xf numFmtId="0" fontId="1" fillId="9" borderId="29" xfId="10" applyFont="1" applyFill="1" applyBorder="1" applyAlignment="1">
      <alignment horizontal="center" vertical="center"/>
    </xf>
    <xf numFmtId="0" fontId="1" fillId="9" borderId="30" xfId="10" applyFont="1" applyFill="1" applyBorder="1" applyAlignment="1">
      <alignment horizontal="center" vertical="center"/>
    </xf>
    <xf numFmtId="0" fontId="1" fillId="9" borderId="30" xfId="10" applyFont="1" applyFill="1" applyBorder="1" applyAlignment="1">
      <alignment horizontal="center" vertical="center" wrapText="1"/>
    </xf>
    <xf numFmtId="0" fontId="2" fillId="9" borderId="30" xfId="10" applyFont="1" applyFill="1" applyBorder="1" applyAlignment="1">
      <alignment horizontal="left" vertical="center"/>
    </xf>
    <xf numFmtId="164" fontId="1" fillId="9" borderId="30" xfId="14" applyFont="1" applyFill="1" applyBorder="1" applyAlignment="1">
      <alignment horizontal="right" vertical="center"/>
    </xf>
    <xf numFmtId="4" fontId="1" fillId="9" borderId="31" xfId="14" applyNumberFormat="1" applyFont="1" applyFill="1" applyBorder="1" applyAlignment="1">
      <alignment horizontal="right" vertical="center"/>
    </xf>
    <xf numFmtId="0" fontId="2" fillId="9" borderId="30" xfId="10" applyFont="1" applyFill="1" applyBorder="1" applyAlignment="1">
      <alignment horizontal="left" vertical="center" wrapText="1"/>
    </xf>
    <xf numFmtId="0" fontId="2" fillId="9" borderId="29" xfId="10" applyFont="1" applyFill="1" applyBorder="1" applyAlignment="1">
      <alignment horizontal="center" vertical="center"/>
    </xf>
    <xf numFmtId="0" fontId="2" fillId="9" borderId="30" xfId="10" applyFont="1" applyFill="1" applyBorder="1" applyAlignment="1">
      <alignment horizontal="center" vertical="center"/>
    </xf>
    <xf numFmtId="0" fontId="2" fillId="9" borderId="30" xfId="10" applyFont="1" applyFill="1" applyBorder="1" applyAlignment="1">
      <alignment horizontal="center" vertical="center" wrapText="1"/>
    </xf>
    <xf numFmtId="44" fontId="1" fillId="9" borderId="31" xfId="14" applyNumberFormat="1" applyFont="1" applyFill="1" applyBorder="1" applyAlignment="1">
      <alignment horizontal="right" vertical="center"/>
    </xf>
    <xf numFmtId="164" fontId="1" fillId="9" borderId="30" xfId="14" applyFont="1" applyFill="1" applyBorder="1" applyAlignment="1">
      <alignment horizontal="center" vertical="center"/>
    </xf>
    <xf numFmtId="0" fontId="2" fillId="9" borderId="30" xfId="10" applyFont="1" applyFill="1" applyBorder="1" applyAlignment="1">
      <alignment vertical="center"/>
    </xf>
    <xf numFmtId="0" fontId="2" fillId="9" borderId="30" xfId="10" applyFont="1" applyFill="1" applyBorder="1" applyAlignment="1">
      <alignment horizontal="right" vertical="center"/>
    </xf>
    <xf numFmtId="164" fontId="2" fillId="9" borderId="30" xfId="14" applyFont="1" applyFill="1" applyBorder="1" applyAlignment="1">
      <alignment horizontal="right" vertical="center"/>
    </xf>
    <xf numFmtId="44" fontId="2" fillId="9" borderId="31" xfId="14" applyNumberFormat="1" applyFont="1" applyFill="1" applyBorder="1" applyAlignment="1">
      <alignment horizontal="right" vertical="center"/>
    </xf>
    <xf numFmtId="0" fontId="2" fillId="9" borderId="29" xfId="10" applyFont="1" applyFill="1" applyBorder="1" applyAlignment="1">
      <alignment horizontal="center" vertical="center" wrapText="1"/>
    </xf>
    <xf numFmtId="164" fontId="1" fillId="9" borderId="30" xfId="14" applyFont="1" applyFill="1" applyBorder="1" applyAlignment="1">
      <alignment horizontal="right" vertical="center" wrapText="1"/>
    </xf>
    <xf numFmtId="164" fontId="1" fillId="9" borderId="30" xfId="14" applyFont="1" applyFill="1" applyBorder="1" applyAlignment="1">
      <alignment horizontal="center" vertical="center" wrapText="1"/>
    </xf>
    <xf numFmtId="44" fontId="1" fillId="9" borderId="31" xfId="14" applyNumberFormat="1" applyFont="1" applyFill="1" applyBorder="1" applyAlignment="1">
      <alignment horizontal="right" vertical="center" wrapText="1"/>
    </xf>
    <xf numFmtId="0" fontId="1" fillId="9" borderId="29" xfId="10" applyFont="1" applyFill="1" applyBorder="1" applyAlignment="1">
      <alignment horizontal="center" vertical="center" wrapText="1"/>
    </xf>
    <xf numFmtId="44" fontId="21" fillId="0" borderId="30" xfId="10" applyNumberFormat="1" applyFont="1" applyFill="1" applyBorder="1" applyAlignment="1">
      <alignment vertical="center"/>
    </xf>
    <xf numFmtId="2" fontId="1" fillId="4" borderId="69" xfId="0" applyNumberFormat="1" applyFont="1" applyFill="1" applyBorder="1" applyAlignment="1">
      <alignment horizontal="center"/>
    </xf>
    <xf numFmtId="2" fontId="1" fillId="4" borderId="73" xfId="0" applyNumberFormat="1" applyFont="1" applyFill="1" applyBorder="1" applyAlignment="1">
      <alignment horizontal="center"/>
    </xf>
    <xf numFmtId="2" fontId="1" fillId="4" borderId="72" xfId="0" applyNumberFormat="1" applyFont="1" applyFill="1" applyBorder="1" applyAlignment="1">
      <alignment horizontal="center"/>
    </xf>
    <xf numFmtId="0" fontId="1" fillId="4" borderId="30" xfId="10" applyFont="1" applyFill="1" applyBorder="1" applyAlignment="1">
      <alignment horizontal="center" vertical="center"/>
    </xf>
    <xf numFmtId="0" fontId="1" fillId="4" borderId="30" xfId="10" applyFont="1" applyFill="1" applyBorder="1" applyAlignment="1">
      <alignment horizontal="left" vertical="center" wrapText="1"/>
    </xf>
    <xf numFmtId="2" fontId="1" fillId="4" borderId="30" xfId="14" applyNumberFormat="1" applyFont="1" applyFill="1" applyBorder="1" applyAlignment="1">
      <alignment horizontal="center" vertical="center"/>
    </xf>
    <xf numFmtId="164" fontId="1" fillId="4" borderId="30" xfId="14" applyFont="1" applyFill="1" applyBorder="1" applyAlignment="1">
      <alignment horizontal="right" vertical="center"/>
    </xf>
    <xf numFmtId="4" fontId="1" fillId="4" borderId="30" xfId="14" applyNumberFormat="1" applyFont="1" applyFill="1" applyBorder="1" applyAlignment="1">
      <alignment horizontal="right" vertical="center"/>
    </xf>
    <xf numFmtId="0" fontId="1" fillId="4" borderId="29" xfId="10" applyFont="1" applyFill="1" applyBorder="1" applyAlignment="1">
      <alignment horizontal="center" vertical="center"/>
    </xf>
    <xf numFmtId="0" fontId="1" fillId="4" borderId="30" xfId="10" applyFont="1" applyFill="1" applyBorder="1" applyAlignment="1">
      <alignment horizontal="center" vertical="center" wrapText="1"/>
    </xf>
    <xf numFmtId="0" fontId="1" fillId="4" borderId="30" xfId="10" applyFont="1" applyFill="1" applyBorder="1" applyAlignment="1">
      <alignment horizontal="left" vertical="center"/>
    </xf>
    <xf numFmtId="4" fontId="1" fillId="4" borderId="31" xfId="14" applyNumberFormat="1" applyFont="1" applyFill="1" applyBorder="1" applyAlignment="1">
      <alignment horizontal="right" vertical="center"/>
    </xf>
    <xf numFmtId="0" fontId="1" fillId="4" borderId="43" xfId="10" applyFont="1" applyFill="1" applyBorder="1" applyAlignment="1">
      <alignment horizontal="center" vertical="center"/>
    </xf>
    <xf numFmtId="0" fontId="1" fillId="4" borderId="43" xfId="10" applyFont="1" applyFill="1" applyBorder="1" applyAlignment="1">
      <alignment vertical="center"/>
    </xf>
    <xf numFmtId="0" fontId="1" fillId="4" borderId="30" xfId="10" applyFont="1" applyFill="1" applyBorder="1" applyAlignment="1">
      <alignment vertical="center"/>
    </xf>
    <xf numFmtId="164" fontId="1" fillId="4" borderId="30" xfId="14" quotePrefix="1" applyFont="1" applyFill="1" applyBorder="1" applyAlignment="1">
      <alignment horizontal="right" vertical="center"/>
    </xf>
    <xf numFmtId="0" fontId="1" fillId="4" borderId="30" xfId="10" applyFont="1" applyFill="1" applyBorder="1" applyAlignment="1">
      <alignment vertical="center" wrapText="1"/>
    </xf>
    <xf numFmtId="44" fontId="1" fillId="4" borderId="31" xfId="14" applyNumberFormat="1" applyFont="1" applyFill="1" applyBorder="1" applyAlignment="1">
      <alignment horizontal="right" vertical="center"/>
    </xf>
    <xf numFmtId="0" fontId="1" fillId="4" borderId="30" xfId="10" applyFont="1" applyFill="1" applyBorder="1" applyAlignment="1">
      <alignment horizontal="left" vertical="justify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left" wrapText="1"/>
    </xf>
    <xf numFmtId="0" fontId="1" fillId="4" borderId="30" xfId="0" applyFont="1" applyFill="1" applyBorder="1" applyAlignment="1">
      <alignment horizontal="center" wrapText="1"/>
    </xf>
    <xf numFmtId="0" fontId="1" fillId="4" borderId="30" xfId="0" applyFont="1" applyFill="1" applyBorder="1" applyAlignment="1">
      <alignment horizontal="left" vertical="center" wrapText="1"/>
    </xf>
    <xf numFmtId="0" fontId="1" fillId="4" borderId="29" xfId="10" applyFont="1" applyFill="1" applyBorder="1" applyAlignment="1">
      <alignment horizontal="center" vertical="center" wrapText="1"/>
    </xf>
    <xf numFmtId="164" fontId="1" fillId="4" borderId="30" xfId="14" applyFont="1" applyFill="1" applyBorder="1" applyAlignment="1">
      <alignment horizontal="right" vertical="center" wrapText="1"/>
    </xf>
    <xf numFmtId="164" fontId="1" fillId="4" borderId="30" xfId="14" applyFont="1" applyFill="1" applyBorder="1" applyAlignment="1">
      <alignment horizontal="center" vertical="center" wrapText="1"/>
    </xf>
    <xf numFmtId="44" fontId="1" fillId="4" borderId="31" xfId="14" applyNumberFormat="1" applyFont="1" applyFill="1" applyBorder="1" applyAlignment="1">
      <alignment horizontal="right" vertical="center" wrapText="1"/>
    </xf>
    <xf numFmtId="4" fontId="1" fillId="4" borderId="31" xfId="14" applyNumberFormat="1" applyFont="1" applyFill="1" applyBorder="1" applyAlignment="1">
      <alignment horizontal="right"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14" fillId="4" borderId="0" xfId="0" applyFont="1" applyFill="1" applyAlignment="1">
      <alignment vertical="center"/>
    </xf>
    <xf numFmtId="2" fontId="1" fillId="4" borderId="30" xfId="10" applyNumberFormat="1" applyFont="1" applyFill="1" applyBorder="1" applyAlignment="1">
      <alignment horizontal="center" vertical="center"/>
    </xf>
    <xf numFmtId="0" fontId="1" fillId="4" borderId="30" xfId="14" applyNumberFormat="1" applyFont="1" applyFill="1" applyBorder="1" applyAlignment="1">
      <alignment horizontal="center" vertical="center"/>
    </xf>
    <xf numFmtId="2" fontId="1" fillId="4" borderId="30" xfId="10" applyNumberFormat="1" applyFont="1" applyFill="1" applyBorder="1" applyAlignment="1">
      <alignment horizontal="right" vertical="center"/>
    </xf>
    <xf numFmtId="2" fontId="1" fillId="4" borderId="30" xfId="14" applyNumberFormat="1" applyFont="1" applyFill="1" applyBorder="1" applyAlignment="1">
      <alignment horizontal="right" vertical="center"/>
    </xf>
    <xf numFmtId="0" fontId="14" fillId="4" borderId="30" xfId="0" applyFont="1" applyFill="1" applyBorder="1" applyAlignment="1">
      <alignment vertical="center"/>
    </xf>
    <xf numFmtId="2" fontId="1" fillId="4" borderId="44" xfId="10" applyNumberFormat="1" applyFont="1" applyFill="1" applyBorder="1" applyAlignment="1">
      <alignment horizontal="right" vertical="center"/>
    </xf>
    <xf numFmtId="44" fontId="1" fillId="4" borderId="30" xfId="14" applyNumberFormat="1" applyFont="1" applyFill="1" applyBorder="1" applyAlignment="1">
      <alignment horizontal="right" vertical="center"/>
    </xf>
    <xf numFmtId="0" fontId="1" fillId="5" borderId="0" xfId="10" applyFont="1" applyFill="1" applyAlignment="1">
      <alignment vertical="center"/>
    </xf>
    <xf numFmtId="0" fontId="2" fillId="6" borderId="10" xfId="10" applyFont="1" applyFill="1" applyBorder="1" applyAlignment="1">
      <alignment horizontal="center" vertical="center"/>
    </xf>
    <xf numFmtId="0" fontId="2" fillId="6" borderId="12" xfId="1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2" fillId="7" borderId="13" xfId="0" applyFont="1" applyFill="1" applyBorder="1" applyAlignment="1">
      <alignment horizontal="center" wrapText="1"/>
    </xf>
    <xf numFmtId="0" fontId="2" fillId="7" borderId="0" xfId="0" applyFont="1" applyFill="1" applyBorder="1" applyAlignment="1">
      <alignment horizontal="center" wrapText="1"/>
    </xf>
    <xf numFmtId="0" fontId="2" fillId="7" borderId="15" xfId="0" applyFont="1" applyFill="1" applyBorder="1" applyAlignment="1">
      <alignment horizontal="center" wrapText="1"/>
    </xf>
    <xf numFmtId="0" fontId="2" fillId="7" borderId="16" xfId="0" applyFont="1" applyFill="1" applyBorder="1" applyAlignment="1">
      <alignment horizontal="center" wrapText="1"/>
    </xf>
    <xf numFmtId="0" fontId="2" fillId="7" borderId="16" xfId="0" applyFont="1" applyFill="1" applyBorder="1" applyAlignment="1">
      <alignment horizontal="left"/>
    </xf>
    <xf numFmtId="0" fontId="2" fillId="7" borderId="11" xfId="0" applyFont="1" applyFill="1" applyBorder="1" applyAlignment="1">
      <alignment horizontal="left" wrapText="1"/>
    </xf>
    <xf numFmtId="0" fontId="2" fillId="7" borderId="0" xfId="0" applyFont="1" applyFill="1" applyBorder="1" applyAlignment="1">
      <alignment horizontal="left" wrapText="1"/>
    </xf>
    <xf numFmtId="164" fontId="21" fillId="0" borderId="30" xfId="14" applyFont="1" applyFill="1" applyBorder="1" applyAlignment="1">
      <alignment horizontal="right" vertical="center"/>
    </xf>
    <xf numFmtId="2" fontId="1" fillId="0" borderId="0" xfId="10" applyNumberFormat="1" applyFont="1" applyFill="1" applyBorder="1" applyAlignment="1">
      <alignment horizontal="center"/>
    </xf>
    <xf numFmtId="0" fontId="1" fillId="0" borderId="0" xfId="10" applyFont="1" applyFill="1" applyBorder="1" applyAlignment="1">
      <alignment horizontal="center"/>
    </xf>
    <xf numFmtId="0" fontId="1" fillId="0" borderId="33" xfId="10" applyFont="1" applyFill="1" applyBorder="1" applyAlignment="1">
      <alignment horizontal="center"/>
    </xf>
    <xf numFmtId="0" fontId="1" fillId="0" borderId="24" xfId="10" applyFont="1" applyFill="1" applyBorder="1" applyAlignment="1">
      <alignment horizontal="center"/>
    </xf>
    <xf numFmtId="0" fontId="1" fillId="0" borderId="0" xfId="10" applyFont="1" applyFill="1" applyBorder="1" applyAlignment="1">
      <alignment horizontal="left"/>
    </xf>
    <xf numFmtId="0" fontId="2" fillId="0" borderId="22" xfId="10" applyFont="1" applyFill="1" applyBorder="1" applyAlignment="1">
      <alignment horizontal="left" vertical="center" wrapText="1"/>
    </xf>
    <xf numFmtId="0" fontId="2" fillId="0" borderId="32" xfId="10" applyFont="1" applyFill="1" applyBorder="1" applyAlignment="1">
      <alignment horizontal="left" vertical="center" wrapText="1"/>
    </xf>
    <xf numFmtId="0" fontId="2" fillId="4" borderId="22" xfId="10" applyFont="1" applyFill="1" applyBorder="1" applyAlignment="1">
      <alignment horizontal="left" vertical="center"/>
    </xf>
    <xf numFmtId="0" fontId="2" fillId="4" borderId="32" xfId="10" applyFont="1" applyFill="1" applyBorder="1" applyAlignment="1">
      <alignment horizontal="left" vertical="center"/>
    </xf>
    <xf numFmtId="0" fontId="1" fillId="0" borderId="0" xfId="10" applyFont="1" applyFill="1" applyBorder="1" applyAlignment="1"/>
    <xf numFmtId="0" fontId="2" fillId="0" borderId="24" xfId="10" applyFont="1" applyFill="1" applyBorder="1" applyAlignment="1">
      <alignment horizontal="center"/>
    </xf>
    <xf numFmtId="2" fontId="1" fillId="0" borderId="0" xfId="10" applyNumberFormat="1" applyFont="1" applyFill="1" applyBorder="1" applyAlignment="1">
      <alignment horizontal="center" wrapText="1"/>
    </xf>
    <xf numFmtId="0" fontId="1" fillId="0" borderId="0" xfId="10" applyFont="1" applyFill="1" applyBorder="1" applyAlignment="1">
      <alignment horizontal="center" wrapText="1"/>
    </xf>
    <xf numFmtId="0" fontId="1" fillId="0" borderId="33" xfId="10" applyFont="1" applyFill="1" applyBorder="1" applyAlignment="1">
      <alignment horizontal="center" wrapText="1"/>
    </xf>
    <xf numFmtId="0" fontId="2" fillId="4" borderId="0" xfId="10" applyFont="1" applyFill="1" applyBorder="1" applyAlignment="1">
      <alignment horizontal="left" vertical="center"/>
    </xf>
    <xf numFmtId="0" fontId="1" fillId="0" borderId="22" xfId="10" applyFont="1" applyFill="1" applyBorder="1" applyAlignment="1">
      <alignment horizontal="left" vertical="top" wrapText="1"/>
    </xf>
    <xf numFmtId="0" fontId="1" fillId="0" borderId="32" xfId="10" applyFont="1" applyFill="1" applyBorder="1" applyAlignment="1">
      <alignment horizontal="left" vertical="top" wrapText="1"/>
    </xf>
    <xf numFmtId="0" fontId="2" fillId="4" borderId="22" xfId="10" applyFont="1" applyFill="1" applyBorder="1" applyAlignment="1">
      <alignment horizontal="left" vertical="center" wrapText="1"/>
    </xf>
    <xf numFmtId="0" fontId="2" fillId="4" borderId="32" xfId="10" applyFont="1" applyFill="1" applyBorder="1" applyAlignment="1">
      <alignment horizontal="left" vertical="center" wrapText="1"/>
    </xf>
    <xf numFmtId="0" fontId="2" fillId="8" borderId="1" xfId="10" applyFont="1" applyFill="1" applyBorder="1" applyAlignment="1">
      <alignment horizontal="left" vertical="center"/>
    </xf>
    <xf numFmtId="0" fontId="1" fillId="0" borderId="0" xfId="10" applyFont="1" applyFill="1" applyBorder="1" applyAlignment="1">
      <alignment horizontal="left" wrapText="1"/>
    </xf>
    <xf numFmtId="0" fontId="1" fillId="0" borderId="33" xfId="10" applyFont="1" applyFill="1" applyBorder="1" applyAlignment="1">
      <alignment horizontal="left"/>
    </xf>
    <xf numFmtId="0" fontId="1" fillId="0" borderId="0" xfId="10" applyFont="1" applyFill="1" applyBorder="1" applyAlignment="1">
      <alignment horizontal="left" vertical="top" wrapText="1"/>
    </xf>
    <xf numFmtId="0" fontId="2" fillId="7" borderId="13" xfId="0" applyFont="1" applyFill="1" applyBorder="1" applyAlignment="1">
      <alignment horizontal="left" wrapText="1"/>
    </xf>
    <xf numFmtId="0" fontId="2" fillId="7" borderId="14" xfId="0" applyFont="1" applyFill="1" applyBorder="1" applyAlignment="1">
      <alignment horizontal="left" wrapText="1"/>
    </xf>
    <xf numFmtId="0" fontId="2" fillId="7" borderId="10" xfId="0" applyFont="1" applyFill="1" applyBorder="1" applyAlignment="1">
      <alignment horizontal="left" wrapText="1"/>
    </xf>
    <xf numFmtId="0" fontId="2" fillId="7" borderId="12" xfId="0" applyFont="1" applyFill="1" applyBorder="1" applyAlignment="1">
      <alignment horizontal="left" wrapText="1"/>
    </xf>
    <xf numFmtId="0" fontId="2" fillId="7" borderId="15" xfId="0" applyFont="1" applyFill="1" applyBorder="1" applyAlignment="1">
      <alignment horizontal="left" wrapText="1"/>
    </xf>
    <xf numFmtId="0" fontId="2" fillId="7" borderId="16" xfId="0" applyFont="1" applyFill="1" applyBorder="1" applyAlignment="1">
      <alignment horizontal="left" wrapText="1"/>
    </xf>
    <xf numFmtId="0" fontId="2" fillId="7" borderId="17" xfId="0" applyFont="1" applyFill="1" applyBorder="1" applyAlignment="1">
      <alignment horizontal="left"/>
    </xf>
    <xf numFmtId="49" fontId="2" fillId="2" borderId="1" xfId="10" applyNumberFormat="1" applyFont="1" applyFill="1" applyBorder="1" applyAlignment="1">
      <alignment horizontal="center" vertical="center"/>
    </xf>
    <xf numFmtId="0" fontId="2" fillId="2" borderId="1" xfId="10" applyFont="1" applyFill="1" applyBorder="1" applyAlignment="1">
      <alignment horizontal="center" vertical="center"/>
    </xf>
    <xf numFmtId="0" fontId="2" fillId="0" borderId="0" xfId="10" applyFont="1" applyFill="1" applyBorder="1" applyAlignment="1">
      <alignment horizontal="left"/>
    </xf>
    <xf numFmtId="0" fontId="13" fillId="9" borderId="1" xfId="0" applyFont="1" applyFill="1" applyBorder="1" applyAlignment="1">
      <alignment horizontal="center" vertical="center"/>
    </xf>
    <xf numFmtId="0" fontId="14" fillId="0" borderId="39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34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50" xfId="0" applyFont="1" applyFill="1" applyBorder="1" applyAlignment="1">
      <alignment horizontal="center" vertical="center"/>
    </xf>
    <xf numFmtId="0" fontId="19" fillId="3" borderId="46" xfId="0" applyFont="1" applyFill="1" applyBorder="1" applyAlignment="1">
      <alignment horizontal="center" vertical="center"/>
    </xf>
    <xf numFmtId="0" fontId="19" fillId="3" borderId="51" xfId="0" applyFont="1" applyFill="1" applyBorder="1" applyAlignment="1">
      <alignment horizontal="center" vertical="center"/>
    </xf>
    <xf numFmtId="44" fontId="19" fillId="3" borderId="47" xfId="0" applyNumberFormat="1" applyFont="1" applyFill="1" applyBorder="1" applyAlignment="1">
      <alignment horizontal="center" vertical="center"/>
    </xf>
    <xf numFmtId="44" fontId="19" fillId="3" borderId="51" xfId="0" applyNumberFormat="1" applyFont="1" applyFill="1" applyBorder="1" applyAlignment="1">
      <alignment horizontal="center" vertical="center"/>
    </xf>
    <xf numFmtId="0" fontId="19" fillId="3" borderId="47" xfId="0" applyFont="1" applyFill="1" applyBorder="1" applyAlignment="1">
      <alignment horizontal="center" vertical="center"/>
    </xf>
    <xf numFmtId="0" fontId="19" fillId="3" borderId="48" xfId="0" applyFont="1" applyFill="1" applyBorder="1" applyAlignment="1">
      <alignment horizontal="center"/>
    </xf>
    <xf numFmtId="0" fontId="19" fillId="3" borderId="49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8" xfId="0" applyFont="1" applyFill="1" applyBorder="1" applyAlignment="1">
      <alignment horizontal="center" vertical="center" wrapText="1"/>
    </xf>
    <xf numFmtId="0" fontId="19" fillId="3" borderId="50" xfId="0" applyFont="1" applyFill="1" applyBorder="1" applyAlignment="1">
      <alignment horizontal="center" vertical="center" wrapText="1"/>
    </xf>
    <xf numFmtId="44" fontId="12" fillId="9" borderId="27" xfId="0" applyNumberFormat="1" applyFont="1" applyFill="1" applyBorder="1" applyAlignment="1">
      <alignment horizontal="center" vertical="center"/>
    </xf>
    <xf numFmtId="2" fontId="12" fillId="4" borderId="22" xfId="18" applyNumberFormat="1" applyFont="1" applyFill="1" applyBorder="1" applyAlignment="1">
      <alignment horizontal="center" vertical="center"/>
    </xf>
    <xf numFmtId="2" fontId="12" fillId="4" borderId="71" xfId="18" applyNumberFormat="1" applyFont="1" applyFill="1" applyBorder="1" applyAlignment="1">
      <alignment horizontal="center" vertical="center"/>
    </xf>
    <xf numFmtId="44" fontId="12" fillId="9" borderId="30" xfId="0" applyNumberFormat="1" applyFont="1" applyFill="1" applyBorder="1" applyAlignment="1">
      <alignment horizontal="center" vertical="center"/>
    </xf>
    <xf numFmtId="2" fontId="12" fillId="4" borderId="75" xfId="18" applyNumberFormat="1" applyFont="1" applyFill="1" applyBorder="1" applyAlignment="1">
      <alignment horizontal="center" vertical="center"/>
    </xf>
    <xf numFmtId="2" fontId="12" fillId="4" borderId="70" xfId="18" applyNumberFormat="1" applyFont="1" applyFill="1" applyBorder="1" applyAlignment="1">
      <alignment horizontal="center" vertical="center"/>
    </xf>
    <xf numFmtId="2" fontId="12" fillId="4" borderId="76" xfId="18" applyNumberFormat="1" applyFont="1" applyFill="1" applyBorder="1" applyAlignment="1">
      <alignment horizontal="center" vertical="center"/>
    </xf>
    <xf numFmtId="2" fontId="12" fillId="4" borderId="74" xfId="18" applyNumberFormat="1" applyFont="1" applyFill="1" applyBorder="1" applyAlignment="1">
      <alignment horizontal="center" vertical="center"/>
    </xf>
    <xf numFmtId="2" fontId="12" fillId="4" borderId="0" xfId="18" applyNumberFormat="1" applyFont="1" applyFill="1" applyBorder="1" applyAlignment="1">
      <alignment horizontal="center" vertical="center"/>
    </xf>
    <xf numFmtId="2" fontId="12" fillId="4" borderId="7" xfId="18" applyNumberFormat="1" applyFont="1" applyFill="1" applyBorder="1" applyAlignment="1">
      <alignment horizontal="center" vertical="center"/>
    </xf>
    <xf numFmtId="44" fontId="20" fillId="9" borderId="64" xfId="0" applyNumberFormat="1" applyFont="1" applyFill="1" applyBorder="1" applyAlignment="1">
      <alignment horizontal="center"/>
    </xf>
    <xf numFmtId="44" fontId="20" fillId="9" borderId="67" xfId="0" applyNumberFormat="1" applyFont="1" applyFill="1" applyBorder="1" applyAlignment="1">
      <alignment horizontal="center"/>
    </xf>
    <xf numFmtId="2" fontId="20" fillId="10" borderId="64" xfId="18" applyNumberFormat="1" applyFont="1" applyFill="1" applyBorder="1" applyAlignment="1">
      <alignment horizontal="center"/>
    </xf>
    <xf numFmtId="2" fontId="20" fillId="10" borderId="67" xfId="18" applyNumberFormat="1" applyFont="1" applyFill="1" applyBorder="1" applyAlignment="1">
      <alignment horizontal="center"/>
    </xf>
    <xf numFmtId="44" fontId="12" fillId="9" borderId="77" xfId="0" applyNumberFormat="1" applyFont="1" applyFill="1" applyBorder="1" applyAlignment="1">
      <alignment horizontal="center" vertical="center"/>
    </xf>
    <xf numFmtId="0" fontId="12" fillId="0" borderId="0" xfId="10" applyFont="1" applyFill="1" applyAlignment="1">
      <alignment horizontal="center" vertical="center" wrapText="1"/>
    </xf>
    <xf numFmtId="0" fontId="1" fillId="0" borderId="0" xfId="10" applyFont="1" applyFill="1" applyAlignment="1">
      <alignment horizontal="center" vertical="center" wrapText="1"/>
    </xf>
    <xf numFmtId="0" fontId="1" fillId="0" borderId="29" xfId="10" applyFont="1" applyFill="1" applyBorder="1" applyAlignment="1">
      <alignment horizontal="center" vertical="center"/>
    </xf>
    <xf numFmtId="0" fontId="1" fillId="0" borderId="30" xfId="1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vertical="center" wrapText="1"/>
    </xf>
    <xf numFmtId="164" fontId="1" fillId="0" borderId="30" xfId="14" applyFont="1" applyFill="1" applyBorder="1" applyAlignment="1">
      <alignment horizontal="center" vertical="center"/>
    </xf>
    <xf numFmtId="164" fontId="1" fillId="0" borderId="30" xfId="14" applyFont="1" applyFill="1" applyBorder="1" applyAlignment="1">
      <alignment horizontal="right" vertical="center"/>
    </xf>
    <xf numFmtId="44" fontId="1" fillId="0" borderId="31" xfId="14" applyNumberFormat="1" applyFont="1" applyFill="1" applyBorder="1" applyAlignment="1">
      <alignment horizontal="right" vertical="center"/>
    </xf>
    <xf numFmtId="0" fontId="1" fillId="4" borderId="77" xfId="10" applyFont="1" applyFill="1" applyBorder="1" applyAlignment="1">
      <alignment horizontal="center" vertical="center"/>
    </xf>
    <xf numFmtId="0" fontId="1" fillId="4" borderId="77" xfId="10" applyFont="1" applyFill="1" applyBorder="1" applyAlignment="1">
      <alignment horizontal="left" vertical="center" wrapText="1"/>
    </xf>
    <xf numFmtId="2" fontId="1" fillId="4" borderId="77" xfId="14" applyNumberFormat="1" applyFont="1" applyFill="1" applyBorder="1" applyAlignment="1">
      <alignment horizontal="center" vertical="center"/>
    </xf>
    <xf numFmtId="164" fontId="1" fillId="4" borderId="77" xfId="14" applyFont="1" applyFill="1" applyBorder="1" applyAlignment="1">
      <alignment horizontal="center" vertical="center"/>
    </xf>
    <xf numFmtId="164" fontId="1" fillId="4" borderId="77" xfId="14" applyFont="1" applyFill="1" applyBorder="1" applyAlignment="1">
      <alignment horizontal="right" vertical="center"/>
    </xf>
    <xf numFmtId="4" fontId="1" fillId="4" borderId="77" xfId="14" applyNumberFormat="1" applyFont="1" applyFill="1" applyBorder="1" applyAlignment="1">
      <alignment horizontal="right" vertical="center"/>
    </xf>
    <xf numFmtId="0" fontId="1" fillId="4" borderId="37" xfId="10" applyFont="1" applyFill="1" applyBorder="1" applyAlignment="1">
      <alignment horizontal="center" vertical="center"/>
    </xf>
    <xf numFmtId="164" fontId="1" fillId="4" borderId="37" xfId="14" applyFont="1" applyFill="1" applyBorder="1" applyAlignment="1">
      <alignment horizontal="center" vertical="center"/>
    </xf>
    <xf numFmtId="44" fontId="1" fillId="4" borderId="37" xfId="14" applyNumberFormat="1" applyFont="1" applyFill="1" applyBorder="1" applyAlignment="1">
      <alignment horizontal="right" vertical="center"/>
    </xf>
    <xf numFmtId="164" fontId="1" fillId="4" borderId="29" xfId="14" applyFont="1" applyFill="1" applyBorder="1" applyAlignment="1">
      <alignment horizontal="right" vertical="center"/>
    </xf>
    <xf numFmtId="164" fontId="1" fillId="4" borderId="31" xfId="14" applyFont="1" applyFill="1" applyBorder="1" applyAlignment="1">
      <alignment horizontal="right" vertical="center"/>
    </xf>
    <xf numFmtId="164" fontId="1" fillId="4" borderId="75" xfId="14" applyFont="1" applyFill="1" applyBorder="1" applyAlignment="1">
      <alignment horizontal="center" vertical="center"/>
    </xf>
    <xf numFmtId="164" fontId="1" fillId="4" borderId="78" xfId="14" applyFont="1" applyFill="1" applyBorder="1" applyAlignment="1">
      <alignment horizontal="right" vertical="center"/>
    </xf>
    <xf numFmtId="44" fontId="1" fillId="4" borderId="77" xfId="14" applyNumberFormat="1" applyFont="1" applyFill="1" applyBorder="1" applyAlignment="1">
      <alignment horizontal="right" vertical="center"/>
    </xf>
    <xf numFmtId="164" fontId="1" fillId="4" borderId="75" xfId="14" applyFont="1" applyFill="1" applyBorder="1" applyAlignment="1">
      <alignment horizontal="right" vertical="center"/>
    </xf>
    <xf numFmtId="164" fontId="1" fillId="4" borderId="76" xfId="14" applyFont="1" applyFill="1" applyBorder="1" applyAlignment="1">
      <alignment horizontal="right" vertical="center"/>
    </xf>
    <xf numFmtId="164" fontId="1" fillId="4" borderId="44" xfId="14" applyFont="1" applyFill="1" applyBorder="1" applyAlignment="1">
      <alignment horizontal="right" vertical="center"/>
    </xf>
    <xf numFmtId="2" fontId="1" fillId="4" borderId="44" xfId="14" applyNumberFormat="1" applyFont="1" applyFill="1" applyBorder="1" applyAlignment="1">
      <alignment horizontal="center" vertical="center"/>
    </xf>
    <xf numFmtId="0" fontId="1" fillId="4" borderId="78" xfId="10" applyFont="1" applyFill="1" applyBorder="1" applyAlignment="1">
      <alignment horizontal="left" vertical="center"/>
    </xf>
    <xf numFmtId="0" fontId="1" fillId="4" borderId="43" xfId="10" applyFont="1" applyFill="1" applyBorder="1" applyAlignment="1">
      <alignment horizontal="left" vertical="center"/>
    </xf>
    <xf numFmtId="164" fontId="1" fillId="4" borderId="79" xfId="14" applyFont="1" applyFill="1" applyBorder="1" applyAlignment="1">
      <alignment horizontal="right" vertical="center"/>
    </xf>
    <xf numFmtId="0" fontId="1" fillId="4" borderId="44" xfId="10" applyFont="1" applyFill="1" applyBorder="1" applyAlignment="1">
      <alignment horizontal="left" vertical="center"/>
    </xf>
    <xf numFmtId="0" fontId="1" fillId="4" borderId="78" xfId="10" applyFont="1" applyFill="1" applyBorder="1" applyAlignment="1">
      <alignment horizontal="center" vertical="center"/>
    </xf>
    <xf numFmtId="0" fontId="1" fillId="4" borderId="44" xfId="10" applyFont="1" applyFill="1" applyBorder="1" applyAlignment="1">
      <alignment horizontal="center" vertical="center"/>
    </xf>
    <xf numFmtId="0" fontId="1" fillId="4" borderId="0" xfId="10" applyFont="1" applyFill="1" applyBorder="1" applyAlignment="1">
      <alignment horizontal="left" vertical="center"/>
    </xf>
  </cellXfs>
  <cellStyles count="19">
    <cellStyle name="20% - Ênfase1 100" xfId="1"/>
    <cellStyle name="60% - Ênfase6 37" xfId="2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_BuiltIn_Comma" xfId="7"/>
    <cellStyle name="Heading" xfId="8"/>
    <cellStyle name="Heading1" xfId="9"/>
    <cellStyle name="Normal" xfId="0" builtinId="0"/>
    <cellStyle name="Normal 2" xfId="10"/>
    <cellStyle name="Normal 3" xfId="17"/>
    <cellStyle name="Porcentagem" xfId="18" builtinId="5"/>
    <cellStyle name="Porcentagem 2" xfId="11"/>
    <cellStyle name="Result" xfId="12"/>
    <cellStyle name="Result2" xfId="13"/>
    <cellStyle name="Separador de milhares 2" xfId="15"/>
    <cellStyle name="Separador de milhares 4" xfId="16"/>
    <cellStyle name="Vírgula" xfId="14" builtinId="3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C3:J37"/>
  <sheetViews>
    <sheetView topLeftCell="A25" workbookViewId="0">
      <selection activeCell="D36" sqref="D36"/>
    </sheetView>
  </sheetViews>
  <sheetFormatPr defaultRowHeight="14.25"/>
  <cols>
    <col min="3" max="3" width="10.625" bestFit="1" customWidth="1"/>
    <col min="6" max="6" width="12.125" bestFit="1" customWidth="1"/>
    <col min="7" max="7" width="9.75" bestFit="1" customWidth="1"/>
  </cols>
  <sheetData>
    <row r="3" spans="3:10">
      <c r="E3" t="s">
        <v>87</v>
      </c>
    </row>
    <row r="5" spans="3:10">
      <c r="D5" t="s">
        <v>89</v>
      </c>
      <c r="E5" t="s">
        <v>85</v>
      </c>
      <c r="F5" t="s">
        <v>93</v>
      </c>
      <c r="G5" t="s">
        <v>94</v>
      </c>
      <c r="H5" t="s">
        <v>86</v>
      </c>
      <c r="I5" t="s">
        <v>88</v>
      </c>
    </row>
    <row r="6" spans="3:10">
      <c r="C6" t="s">
        <v>90</v>
      </c>
      <c r="D6" t="s">
        <v>114</v>
      </c>
      <c r="E6">
        <v>186</v>
      </c>
      <c r="F6">
        <v>1</v>
      </c>
      <c r="G6">
        <v>4</v>
      </c>
      <c r="H6">
        <v>0.61699999999999999</v>
      </c>
      <c r="I6">
        <f>H6*G6*E6*F6</f>
        <v>459.048</v>
      </c>
    </row>
    <row r="7" spans="3:10">
      <c r="C7" t="s">
        <v>90</v>
      </c>
      <c r="D7" t="s">
        <v>113</v>
      </c>
      <c r="E7">
        <v>1</v>
      </c>
      <c r="F7">
        <f>186/0.15</f>
        <v>1240</v>
      </c>
      <c r="H7">
        <v>0.154</v>
      </c>
      <c r="I7">
        <f>H7*F7*E7</f>
        <v>190.96</v>
      </c>
    </row>
    <row r="8" spans="3:10">
      <c r="C8" t="s">
        <v>91</v>
      </c>
      <c r="D8" t="s">
        <v>115</v>
      </c>
      <c r="E8">
        <v>186</v>
      </c>
      <c r="F8">
        <v>4</v>
      </c>
      <c r="G8">
        <v>3</v>
      </c>
      <c r="H8">
        <v>0.245</v>
      </c>
      <c r="I8">
        <f>H8*G8*E8*F8</f>
        <v>546.84</v>
      </c>
    </row>
    <row r="9" spans="3:10">
      <c r="C9" t="s">
        <v>92</v>
      </c>
      <c r="D9" t="s">
        <v>115</v>
      </c>
      <c r="E9">
        <v>186</v>
      </c>
      <c r="F9">
        <v>8</v>
      </c>
      <c r="G9">
        <v>1</v>
      </c>
      <c r="H9">
        <v>0.245</v>
      </c>
      <c r="I9">
        <f>H9*G9*E9*F9</f>
        <v>364.56</v>
      </c>
      <c r="J9">
        <f>I8+I9</f>
        <v>911.40000000000009</v>
      </c>
    </row>
    <row r="10" spans="3:10">
      <c r="G10" t="s">
        <v>85</v>
      </c>
      <c r="H10" t="s">
        <v>101</v>
      </c>
    </row>
    <row r="11" spans="3:10">
      <c r="C11" t="s">
        <v>98</v>
      </c>
      <c r="G11">
        <v>186</v>
      </c>
      <c r="H11">
        <v>0.4</v>
      </c>
      <c r="I11">
        <f>H11*G11</f>
        <v>74.400000000000006</v>
      </c>
    </row>
    <row r="12" spans="3:10">
      <c r="E12" t="s">
        <v>85</v>
      </c>
      <c r="F12" t="s">
        <v>110</v>
      </c>
      <c r="G12" t="s">
        <v>111</v>
      </c>
      <c r="I12" t="s">
        <v>88</v>
      </c>
    </row>
    <row r="13" spans="3:10">
      <c r="C13" t="s">
        <v>97</v>
      </c>
      <c r="E13">
        <v>186</v>
      </c>
      <c r="F13">
        <v>0.2</v>
      </c>
      <c r="G13">
        <v>0.3</v>
      </c>
      <c r="I13">
        <f>G13*F13*E13</f>
        <v>11.16</v>
      </c>
    </row>
    <row r="14" spans="3:10">
      <c r="C14" t="s">
        <v>112</v>
      </c>
      <c r="E14">
        <v>186</v>
      </c>
      <c r="F14">
        <v>0.2</v>
      </c>
      <c r="I14">
        <f>F14*E14</f>
        <v>37.200000000000003</v>
      </c>
    </row>
    <row r="16" spans="3:10" ht="15">
      <c r="G16" s="39" t="s">
        <v>95</v>
      </c>
    </row>
    <row r="17" spans="5:9">
      <c r="G17" t="s">
        <v>96</v>
      </c>
      <c r="H17" t="s">
        <v>93</v>
      </c>
      <c r="I17" t="s">
        <v>88</v>
      </c>
    </row>
    <row r="18" spans="5:9">
      <c r="F18" t="s">
        <v>97</v>
      </c>
      <c r="G18">
        <f>7/12</f>
        <v>0.58333333333333337</v>
      </c>
      <c r="H18">
        <v>12</v>
      </c>
      <c r="I18">
        <f>H18*G18</f>
        <v>7</v>
      </c>
    </row>
    <row r="19" spans="5:9">
      <c r="F19" t="s">
        <v>99</v>
      </c>
      <c r="G19">
        <f>105/12</f>
        <v>8.75</v>
      </c>
      <c r="H19">
        <v>12</v>
      </c>
      <c r="I19">
        <f>H19*G19</f>
        <v>105</v>
      </c>
    </row>
    <row r="20" spans="5:9">
      <c r="F20" t="s">
        <v>100</v>
      </c>
      <c r="G20">
        <f>105/12</f>
        <v>8.75</v>
      </c>
      <c r="H20">
        <v>12</v>
      </c>
      <c r="I20">
        <f>H20*G20</f>
        <v>105</v>
      </c>
    </row>
    <row r="21" spans="5:9">
      <c r="F21" t="s">
        <v>98</v>
      </c>
      <c r="G21">
        <f>27/12</f>
        <v>2.25</v>
      </c>
      <c r="H21">
        <v>12</v>
      </c>
      <c r="I21">
        <f>H21*G21</f>
        <v>27</v>
      </c>
    </row>
    <row r="24" spans="5:9">
      <c r="E24" t="s">
        <v>102</v>
      </c>
    </row>
    <row r="25" spans="5:9">
      <c r="F25" t="s">
        <v>104</v>
      </c>
      <c r="G25" t="s">
        <v>105</v>
      </c>
      <c r="H25" t="s">
        <v>86</v>
      </c>
      <c r="I25" t="s">
        <v>88</v>
      </c>
    </row>
    <row r="26" spans="5:9">
      <c r="E26" t="s">
        <v>103</v>
      </c>
      <c r="F26">
        <f>0.5*4</f>
        <v>2</v>
      </c>
      <c r="G26">
        <f>12*4</f>
        <v>48</v>
      </c>
      <c r="H26">
        <v>1</v>
      </c>
      <c r="I26">
        <f>H26*G26*F26</f>
        <v>96</v>
      </c>
    </row>
    <row r="27" spans="5:9">
      <c r="F27" t="s">
        <v>106</v>
      </c>
      <c r="G27" t="s">
        <v>105</v>
      </c>
      <c r="H27" t="s">
        <v>107</v>
      </c>
    </row>
    <row r="28" spans="5:9">
      <c r="E28" t="s">
        <v>108</v>
      </c>
      <c r="F28">
        <f>0.3*0.3</f>
        <v>0.09</v>
      </c>
      <c r="G28">
        <v>12</v>
      </c>
      <c r="H28">
        <v>200</v>
      </c>
      <c r="I28">
        <f>H28*G28*F28</f>
        <v>216</v>
      </c>
    </row>
    <row r="29" spans="5:9" ht="15">
      <c r="H29" s="39" t="s">
        <v>88</v>
      </c>
      <c r="I29" s="39">
        <f>I28+I26</f>
        <v>312</v>
      </c>
    </row>
    <row r="30" spans="5:9">
      <c r="E30" t="s">
        <v>71</v>
      </c>
      <c r="F30" t="s">
        <v>104</v>
      </c>
      <c r="G30" t="s">
        <v>105</v>
      </c>
      <c r="H30" t="s">
        <v>109</v>
      </c>
      <c r="I30" t="s">
        <v>88</v>
      </c>
    </row>
    <row r="31" spans="5:9">
      <c r="F31">
        <v>8</v>
      </c>
      <c r="G31">
        <v>12</v>
      </c>
      <c r="H31">
        <v>2</v>
      </c>
      <c r="I31">
        <f>H31*G31*F31</f>
        <v>192</v>
      </c>
    </row>
    <row r="33" spans="3:9">
      <c r="E33" t="s">
        <v>116</v>
      </c>
    </row>
    <row r="35" spans="3:9">
      <c r="D35" t="s">
        <v>89</v>
      </c>
      <c r="E35" t="s">
        <v>85</v>
      </c>
      <c r="F35" t="s">
        <v>93</v>
      </c>
      <c r="G35" t="s">
        <v>94</v>
      </c>
      <c r="H35" t="s">
        <v>86</v>
      </c>
      <c r="I35" t="s">
        <v>88</v>
      </c>
    </row>
    <row r="36" spans="3:9">
      <c r="C36" t="s">
        <v>90</v>
      </c>
      <c r="D36" t="s">
        <v>114</v>
      </c>
      <c r="E36">
        <v>2.5</v>
      </c>
      <c r="F36">
        <f>12*4</f>
        <v>48</v>
      </c>
      <c r="G36">
        <v>4</v>
      </c>
      <c r="H36">
        <v>0.61699999999999999</v>
      </c>
      <c r="I36">
        <f>H36*G36*E36*F36</f>
        <v>296.15999999999997</v>
      </c>
    </row>
    <row r="37" spans="3:9">
      <c r="C37" t="s">
        <v>90</v>
      </c>
      <c r="D37" t="s">
        <v>113</v>
      </c>
      <c r="E37">
        <v>0.7</v>
      </c>
      <c r="F37">
        <f>12*2.5/0.15</f>
        <v>200</v>
      </c>
      <c r="H37">
        <v>0.154</v>
      </c>
      <c r="I37">
        <f>H37*F37*E37</f>
        <v>21.56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2:AI230"/>
  <sheetViews>
    <sheetView view="pageBreakPreview" topLeftCell="A178" zoomScaleNormal="100" zoomScaleSheetLayoutView="100" workbookViewId="0">
      <selection activeCell="G14" sqref="G14"/>
    </sheetView>
  </sheetViews>
  <sheetFormatPr defaultRowHeight="12.75"/>
  <cols>
    <col min="1" max="1" width="7" style="10" customWidth="1"/>
    <col min="2" max="2" width="9.125" style="10" bestFit="1" customWidth="1"/>
    <col min="3" max="3" width="8.125" style="10" customWidth="1"/>
    <col min="4" max="4" width="48.75" style="12" customWidth="1"/>
    <col min="5" max="5" width="7.25" style="216" customWidth="1"/>
    <col min="6" max="6" width="5.375" style="16" customWidth="1"/>
    <col min="7" max="7" width="10.875" style="13" customWidth="1"/>
    <col min="8" max="8" width="11" style="13" customWidth="1"/>
    <col min="9" max="9" width="15.875" style="1" customWidth="1"/>
    <col min="10" max="10" width="15.25" style="1" bestFit="1" customWidth="1"/>
    <col min="11" max="11" width="13.875" style="1" customWidth="1"/>
    <col min="12" max="12" width="15.25" style="1" bestFit="1" customWidth="1"/>
    <col min="13" max="13" width="13.875" style="1" customWidth="1"/>
    <col min="14" max="14" width="15.25" style="1" bestFit="1" customWidth="1"/>
    <col min="15" max="19" width="13.875" style="1" customWidth="1"/>
    <col min="20" max="20" width="15.25" style="1" bestFit="1" customWidth="1"/>
    <col min="21" max="21" width="13.875" style="1" customWidth="1"/>
    <col min="22" max="22" width="15.25" style="1" bestFit="1" customWidth="1"/>
    <col min="23" max="23" width="13.875" style="1" customWidth="1"/>
    <col min="24" max="24" width="15.25" style="1" bestFit="1" customWidth="1"/>
    <col min="25" max="25" width="13.875" style="1" customWidth="1"/>
    <col min="26" max="26" width="15.25" style="1" bestFit="1" customWidth="1"/>
    <col min="27" max="27" width="13.875" style="1" customWidth="1"/>
    <col min="28" max="28" width="15.25" style="1" bestFit="1" customWidth="1"/>
    <col min="29" max="29" width="13.875" style="1" customWidth="1"/>
    <col min="30" max="30" width="15.25" style="1" bestFit="1" customWidth="1"/>
    <col min="31" max="31" width="13.875" style="1" customWidth="1"/>
    <col min="32" max="32" width="15.25" style="1" bestFit="1" customWidth="1"/>
    <col min="33" max="35" width="13.875" style="1" customWidth="1"/>
    <col min="36" max="16384" width="9" style="1"/>
  </cols>
  <sheetData>
    <row r="2" spans="1:35" ht="12.75" customHeight="1">
      <c r="A2" s="295" t="s">
        <v>76</v>
      </c>
      <c r="B2" s="296"/>
      <c r="C2" s="296"/>
      <c r="D2" s="296"/>
      <c r="E2" s="296"/>
      <c r="F2" s="296"/>
      <c r="G2" s="296"/>
      <c r="H2" s="296"/>
      <c r="I2" s="297"/>
    </row>
    <row r="3" spans="1:35" ht="12.75" customHeight="1">
      <c r="A3" s="298"/>
      <c r="B3" s="299"/>
      <c r="C3" s="299"/>
      <c r="D3" s="299"/>
      <c r="E3" s="299"/>
      <c r="F3" s="299"/>
      <c r="G3" s="299"/>
      <c r="H3" s="299"/>
      <c r="I3" s="300"/>
    </row>
    <row r="4" spans="1:35" ht="12.75" customHeight="1">
      <c r="A4" s="298"/>
      <c r="B4" s="299"/>
      <c r="C4" s="299"/>
      <c r="D4" s="299"/>
      <c r="E4" s="299"/>
      <c r="F4" s="299"/>
      <c r="G4" s="299"/>
      <c r="H4" s="299"/>
      <c r="I4" s="300"/>
    </row>
    <row r="5" spans="1:35" ht="12.75" customHeight="1">
      <c r="A5" s="301"/>
      <c r="B5" s="302"/>
      <c r="C5" s="302"/>
      <c r="D5" s="302"/>
      <c r="E5" s="302"/>
      <c r="F5" s="302"/>
      <c r="G5" s="302"/>
      <c r="H5" s="302"/>
      <c r="I5" s="303"/>
      <c r="J5" s="20"/>
    </row>
    <row r="6" spans="1:35" ht="14.25" customHeight="1">
      <c r="A6" s="7"/>
      <c r="B6" s="7"/>
      <c r="C6" s="7"/>
      <c r="D6" s="3"/>
      <c r="E6" s="19"/>
      <c r="F6" s="14"/>
      <c r="G6" s="5"/>
      <c r="H6" s="5"/>
      <c r="I6" s="6"/>
    </row>
    <row r="7" spans="1:35" s="25" customFormat="1" ht="14.25" customHeight="1">
      <c r="A7" s="304" t="s">
        <v>72</v>
      </c>
      <c r="B7" s="305"/>
      <c r="C7" s="311" t="s">
        <v>73</v>
      </c>
      <c r="D7" s="311"/>
      <c r="E7" s="311"/>
      <c r="F7" s="311"/>
      <c r="G7" s="28"/>
      <c r="H7" s="28" t="s">
        <v>197</v>
      </c>
      <c r="I7" s="29">
        <v>0.29709999999999998</v>
      </c>
      <c r="J7" s="292" t="s">
        <v>83</v>
      </c>
      <c r="K7" s="293"/>
      <c r="L7" s="292" t="s">
        <v>83</v>
      </c>
      <c r="M7" s="293"/>
      <c r="N7" s="292" t="s">
        <v>83</v>
      </c>
      <c r="O7" s="293"/>
      <c r="P7" s="292" t="s">
        <v>83</v>
      </c>
      <c r="Q7" s="293"/>
      <c r="R7" s="292" t="s">
        <v>83</v>
      </c>
      <c r="S7" s="293"/>
      <c r="T7" s="292" t="s">
        <v>83</v>
      </c>
      <c r="U7" s="293"/>
      <c r="V7" s="292" t="s">
        <v>83</v>
      </c>
      <c r="W7" s="293"/>
      <c r="X7" s="292" t="s">
        <v>83</v>
      </c>
      <c r="Y7" s="293"/>
      <c r="Z7" s="292" t="s">
        <v>83</v>
      </c>
      <c r="AA7" s="293"/>
      <c r="AB7" s="292" t="s">
        <v>83</v>
      </c>
      <c r="AC7" s="293"/>
      <c r="AD7" s="292" t="s">
        <v>83</v>
      </c>
      <c r="AE7" s="293"/>
      <c r="AF7" s="292" t="s">
        <v>83</v>
      </c>
      <c r="AG7" s="293"/>
      <c r="AH7" s="292" t="s">
        <v>84</v>
      </c>
      <c r="AI7" s="293"/>
    </row>
    <row r="8" spans="1:35" s="25" customFormat="1" ht="15" customHeight="1">
      <c r="A8" s="306" t="s">
        <v>74</v>
      </c>
      <c r="B8" s="307"/>
      <c r="C8" s="312" t="s">
        <v>381</v>
      </c>
      <c r="D8" s="312"/>
      <c r="E8" s="312"/>
      <c r="F8" s="312"/>
      <c r="G8" s="27"/>
      <c r="H8" s="27" t="s">
        <v>77</v>
      </c>
      <c r="I8" s="31"/>
      <c r="J8" s="35" t="s">
        <v>80</v>
      </c>
      <c r="K8" s="36">
        <v>1</v>
      </c>
      <c r="L8" s="35" t="s">
        <v>80</v>
      </c>
      <c r="M8" s="36">
        <v>2</v>
      </c>
      <c r="N8" s="35" t="s">
        <v>80</v>
      </c>
      <c r="O8" s="36">
        <v>3</v>
      </c>
      <c r="P8" s="35" t="s">
        <v>80</v>
      </c>
      <c r="Q8" s="36">
        <v>4</v>
      </c>
      <c r="R8" s="35" t="s">
        <v>80</v>
      </c>
      <c r="S8" s="36">
        <v>5</v>
      </c>
      <c r="T8" s="35" t="s">
        <v>80</v>
      </c>
      <c r="U8" s="36">
        <v>6</v>
      </c>
      <c r="V8" s="35" t="s">
        <v>80</v>
      </c>
      <c r="W8" s="36">
        <v>7</v>
      </c>
      <c r="X8" s="35" t="s">
        <v>80</v>
      </c>
      <c r="Y8" s="36">
        <v>8</v>
      </c>
      <c r="Z8" s="35" t="s">
        <v>80</v>
      </c>
      <c r="AA8" s="36">
        <v>9</v>
      </c>
      <c r="AB8" s="35" t="s">
        <v>80</v>
      </c>
      <c r="AC8" s="36">
        <v>10</v>
      </c>
      <c r="AD8" s="35" t="s">
        <v>80</v>
      </c>
      <c r="AE8" s="36">
        <v>11</v>
      </c>
      <c r="AF8" s="35" t="s">
        <v>80</v>
      </c>
      <c r="AG8" s="36">
        <v>12</v>
      </c>
      <c r="AH8" s="35"/>
      <c r="AI8" s="36"/>
    </row>
    <row r="9" spans="1:35" s="25" customFormat="1" ht="12.75" customHeight="1">
      <c r="A9" s="308" t="s">
        <v>75</v>
      </c>
      <c r="B9" s="309"/>
      <c r="C9" s="310"/>
      <c r="D9" s="310"/>
      <c r="E9" s="310"/>
      <c r="F9" s="310"/>
      <c r="G9" s="30"/>
      <c r="H9" s="30" t="s">
        <v>78</v>
      </c>
      <c r="I9" s="32"/>
      <c r="J9" s="37" t="s">
        <v>79</v>
      </c>
      <c r="K9" s="38"/>
      <c r="L9" s="37" t="s">
        <v>79</v>
      </c>
      <c r="M9" s="38"/>
      <c r="N9" s="37" t="s">
        <v>79</v>
      </c>
      <c r="O9" s="38"/>
      <c r="P9" s="37" t="s">
        <v>79</v>
      </c>
      <c r="Q9" s="38"/>
      <c r="R9" s="37" t="s">
        <v>79</v>
      </c>
      <c r="S9" s="38"/>
      <c r="T9" s="37" t="s">
        <v>79</v>
      </c>
      <c r="U9" s="38"/>
      <c r="V9" s="37" t="s">
        <v>79</v>
      </c>
      <c r="W9" s="38"/>
      <c r="X9" s="37" t="s">
        <v>79</v>
      </c>
      <c r="Y9" s="38"/>
      <c r="Z9" s="37" t="s">
        <v>79</v>
      </c>
      <c r="AA9" s="38"/>
      <c r="AB9" s="37" t="s">
        <v>79</v>
      </c>
      <c r="AC9" s="38"/>
      <c r="AD9" s="37" t="s">
        <v>79</v>
      </c>
      <c r="AE9" s="38"/>
      <c r="AF9" s="37" t="s">
        <v>79</v>
      </c>
      <c r="AG9" s="38"/>
      <c r="AH9" s="37" t="s">
        <v>79</v>
      </c>
      <c r="AI9" s="38"/>
    </row>
    <row r="11" spans="1:35" s="25" customFormat="1" ht="29.1" customHeight="1">
      <c r="A11" s="63" t="s">
        <v>21</v>
      </c>
      <c r="B11" s="63" t="s">
        <v>22</v>
      </c>
      <c r="C11" s="63" t="s">
        <v>23</v>
      </c>
      <c r="D11" s="63" t="s">
        <v>24</v>
      </c>
      <c r="E11" s="212" t="s">
        <v>198</v>
      </c>
      <c r="F11" s="63" t="s">
        <v>199</v>
      </c>
      <c r="G11" s="64" t="s">
        <v>200</v>
      </c>
      <c r="H11" s="64" t="s">
        <v>201</v>
      </c>
      <c r="I11" s="64" t="s">
        <v>70</v>
      </c>
      <c r="J11" s="33" t="s">
        <v>81</v>
      </c>
      <c r="K11" s="33" t="s">
        <v>82</v>
      </c>
      <c r="L11" s="33" t="s">
        <v>81</v>
      </c>
      <c r="M11" s="33" t="s">
        <v>82</v>
      </c>
      <c r="N11" s="33" t="s">
        <v>81</v>
      </c>
      <c r="O11" s="33" t="s">
        <v>82</v>
      </c>
      <c r="P11" s="33" t="s">
        <v>81</v>
      </c>
      <c r="Q11" s="33" t="s">
        <v>82</v>
      </c>
      <c r="R11" s="33" t="s">
        <v>81</v>
      </c>
      <c r="S11" s="33" t="s">
        <v>82</v>
      </c>
      <c r="T11" s="33" t="s">
        <v>81</v>
      </c>
      <c r="U11" s="33" t="s">
        <v>82</v>
      </c>
      <c r="V11" s="33" t="s">
        <v>81</v>
      </c>
      <c r="W11" s="33" t="s">
        <v>82</v>
      </c>
      <c r="X11" s="33" t="s">
        <v>81</v>
      </c>
      <c r="Y11" s="33" t="s">
        <v>82</v>
      </c>
      <c r="Z11" s="33" t="s">
        <v>81</v>
      </c>
      <c r="AA11" s="33" t="s">
        <v>82</v>
      </c>
      <c r="AB11" s="33" t="s">
        <v>81</v>
      </c>
      <c r="AC11" s="33" t="s">
        <v>82</v>
      </c>
      <c r="AD11" s="33" t="s">
        <v>81</v>
      </c>
      <c r="AE11" s="33" t="s">
        <v>82</v>
      </c>
      <c r="AF11" s="33" t="s">
        <v>81</v>
      </c>
      <c r="AG11" s="33" t="s">
        <v>82</v>
      </c>
      <c r="AH11" s="33" t="s">
        <v>81</v>
      </c>
      <c r="AI11" s="33" t="s">
        <v>82</v>
      </c>
    </row>
    <row r="12" spans="1:35" s="25" customFormat="1">
      <c r="A12" s="88">
        <v>1</v>
      </c>
      <c r="B12" s="61"/>
      <c r="C12" s="61"/>
      <c r="D12" s="56" t="s">
        <v>45</v>
      </c>
      <c r="E12" s="213"/>
      <c r="F12" s="61"/>
      <c r="G12" s="57"/>
      <c r="H12" s="57"/>
      <c r="I12" s="84">
        <f>SUBTOTAL(9,I14:I23)</f>
        <v>5029.55</v>
      </c>
      <c r="J12" s="43"/>
      <c r="K12" s="23"/>
      <c r="L12" s="24"/>
      <c r="M12" s="23"/>
      <c r="N12" s="24"/>
      <c r="O12" s="23"/>
      <c r="P12" s="24"/>
      <c r="Q12" s="23"/>
      <c r="R12" s="24"/>
      <c r="S12" s="23"/>
      <c r="T12" s="24"/>
      <c r="U12" s="23"/>
      <c r="V12" s="24"/>
      <c r="W12" s="23"/>
      <c r="X12" s="24"/>
      <c r="Y12" s="23"/>
      <c r="Z12" s="24"/>
      <c r="AA12" s="23"/>
      <c r="AB12" s="24"/>
      <c r="AC12" s="23"/>
      <c r="AD12" s="24"/>
      <c r="AE12" s="23"/>
      <c r="AF12" s="24"/>
      <c r="AG12" s="23"/>
      <c r="AH12" s="24"/>
      <c r="AI12" s="23"/>
    </row>
    <row r="13" spans="1:35">
      <c r="A13" s="225"/>
      <c r="B13" s="226"/>
      <c r="C13" s="226"/>
      <c r="D13" s="227" t="s">
        <v>351</v>
      </c>
      <c r="E13" s="228"/>
      <c r="F13" s="226"/>
      <c r="G13" s="229"/>
      <c r="H13" s="229"/>
      <c r="I13" s="230"/>
      <c r="J13" s="91"/>
      <c r="K13" s="92"/>
      <c r="L13" s="93"/>
      <c r="M13" s="92"/>
      <c r="N13" s="93"/>
      <c r="O13" s="92"/>
      <c r="P13" s="93"/>
      <c r="Q13" s="92"/>
      <c r="R13" s="93"/>
      <c r="S13" s="92"/>
      <c r="T13" s="93"/>
      <c r="U13" s="92"/>
      <c r="V13" s="93"/>
      <c r="W13" s="92"/>
      <c r="X13" s="93"/>
      <c r="Y13" s="92"/>
      <c r="Z13" s="93"/>
      <c r="AA13" s="92"/>
      <c r="AB13" s="93"/>
      <c r="AC13" s="92"/>
      <c r="AD13" s="93"/>
      <c r="AE13" s="92"/>
      <c r="AF13" s="93"/>
      <c r="AG13" s="92"/>
      <c r="AH13" s="93"/>
      <c r="AI13" s="92"/>
    </row>
    <row r="14" spans="1:35">
      <c r="A14" s="261" t="s">
        <v>27</v>
      </c>
      <c r="B14" s="256" t="s">
        <v>119</v>
      </c>
      <c r="C14" s="262" t="s">
        <v>31</v>
      </c>
      <c r="D14" s="263" t="s">
        <v>350</v>
      </c>
      <c r="E14" s="259">
        <v>2.5</v>
      </c>
      <c r="F14" s="256" t="s">
        <v>259</v>
      </c>
      <c r="G14" s="259">
        <v>334.84</v>
      </c>
      <c r="H14" s="259">
        <f>ROUND((G14*$I$7)+G14,2)</f>
        <v>434.32</v>
      </c>
      <c r="I14" s="264">
        <f>ROUND((H14*E14),2)</f>
        <v>1085.8</v>
      </c>
      <c r="J14" s="44">
        <f>ROUND(K14*$I$14,2)</f>
        <v>0</v>
      </c>
      <c r="K14" s="34"/>
      <c r="L14" s="21">
        <f>ROUND(M14*$I$14,2)</f>
        <v>0</v>
      </c>
      <c r="M14" s="34"/>
      <c r="N14" s="21">
        <f>ROUND(O14*$I$14,2)</f>
        <v>0</v>
      </c>
      <c r="O14" s="34"/>
      <c r="P14" s="21">
        <f>ROUND(Q14*$I$14,2)</f>
        <v>0</v>
      </c>
      <c r="Q14" s="34"/>
      <c r="R14" s="21">
        <f>ROUND(S14*$I$14,2)</f>
        <v>0</v>
      </c>
      <c r="S14" s="34"/>
      <c r="T14" s="21">
        <f>ROUND(U14*$I$14,2)</f>
        <v>0</v>
      </c>
      <c r="U14" s="34"/>
      <c r="V14" s="21">
        <f>ROUND(W14*$I$14,2)</f>
        <v>0</v>
      </c>
      <c r="W14" s="34"/>
      <c r="X14" s="21">
        <f>ROUND(Y14*$I$14,2)</f>
        <v>0</v>
      </c>
      <c r="Y14" s="34"/>
      <c r="Z14" s="21">
        <f>ROUND(AA14*$I$14,2)</f>
        <v>0</v>
      </c>
      <c r="AA14" s="34"/>
      <c r="AB14" s="21">
        <f>ROUND(AC14*$I$14,2)</f>
        <v>0</v>
      </c>
      <c r="AC14" s="34"/>
      <c r="AD14" s="21">
        <f>ROUND(AE14*$I$14,2)</f>
        <v>0</v>
      </c>
      <c r="AE14" s="34"/>
      <c r="AF14" s="21">
        <f>ROUND(AG14*$I$14,2)</f>
        <v>0</v>
      </c>
      <c r="AG14" s="34"/>
      <c r="AH14" s="21">
        <f>ROUND(AI14*$I$14,2)</f>
        <v>0</v>
      </c>
      <c r="AI14" s="34"/>
    </row>
    <row r="15" spans="1:35">
      <c r="A15" s="231"/>
      <c r="B15" s="232"/>
      <c r="C15" s="233"/>
      <c r="D15" s="234" t="s">
        <v>352</v>
      </c>
      <c r="E15" s="235"/>
      <c r="F15" s="232"/>
      <c r="G15" s="235"/>
      <c r="H15" s="235"/>
      <c r="I15" s="236"/>
      <c r="J15" s="94"/>
      <c r="K15" s="34"/>
      <c r="L15" s="95"/>
      <c r="M15" s="34"/>
      <c r="N15" s="95"/>
      <c r="O15" s="34"/>
      <c r="P15" s="95"/>
      <c r="Q15" s="34"/>
      <c r="R15" s="95"/>
      <c r="S15" s="34"/>
      <c r="T15" s="95"/>
      <c r="U15" s="34"/>
      <c r="V15" s="95"/>
      <c r="W15" s="34"/>
      <c r="X15" s="95"/>
      <c r="Y15" s="34"/>
      <c r="Z15" s="95"/>
      <c r="AA15" s="34"/>
      <c r="AB15" s="95"/>
      <c r="AC15" s="34"/>
      <c r="AD15" s="95"/>
      <c r="AE15" s="34"/>
      <c r="AF15" s="95"/>
      <c r="AG15" s="34"/>
      <c r="AH15" s="95"/>
      <c r="AI15" s="34"/>
    </row>
    <row r="16" spans="1:35" s="25" customFormat="1">
      <c r="A16" s="261" t="s">
        <v>117</v>
      </c>
      <c r="B16" s="256" t="s">
        <v>314</v>
      </c>
      <c r="C16" s="262" t="s">
        <v>69</v>
      </c>
      <c r="D16" s="263" t="s">
        <v>315</v>
      </c>
      <c r="E16" s="259">
        <v>4.13</v>
      </c>
      <c r="F16" s="265" t="s">
        <v>269</v>
      </c>
      <c r="G16" s="266">
        <f>ROUND(H16*0.7029,2)</f>
        <v>187.64</v>
      </c>
      <c r="H16" s="259">
        <v>266.95</v>
      </c>
      <c r="I16" s="264">
        <f>ROUND((H16*E16),2)</f>
        <v>1102.5</v>
      </c>
      <c r="J16" s="45"/>
      <c r="K16" s="22"/>
      <c r="L16" s="26"/>
      <c r="M16" s="22"/>
      <c r="N16" s="26"/>
      <c r="O16" s="22"/>
      <c r="P16" s="26"/>
      <c r="Q16" s="22"/>
      <c r="R16" s="26"/>
      <c r="S16" s="22"/>
      <c r="T16" s="26"/>
      <c r="U16" s="22"/>
      <c r="V16" s="26"/>
      <c r="W16" s="22"/>
      <c r="X16" s="26"/>
      <c r="Y16" s="22"/>
      <c r="Z16" s="26"/>
      <c r="AA16" s="22"/>
      <c r="AB16" s="26"/>
      <c r="AC16" s="22"/>
      <c r="AD16" s="26"/>
      <c r="AE16" s="22"/>
      <c r="AF16" s="26"/>
      <c r="AG16" s="22"/>
      <c r="AH16" s="26"/>
      <c r="AI16" s="22"/>
    </row>
    <row r="17" spans="1:35" s="25" customFormat="1">
      <c r="A17" s="261" t="s">
        <v>622</v>
      </c>
      <c r="B17" s="256" t="s">
        <v>367</v>
      </c>
      <c r="C17" s="262" t="s">
        <v>69</v>
      </c>
      <c r="D17" s="257" t="s">
        <v>368</v>
      </c>
      <c r="E17" s="259">
        <v>1</v>
      </c>
      <c r="F17" s="256" t="s">
        <v>25</v>
      </c>
      <c r="G17" s="267">
        <f>ROUND(H17*0.7029,2)</f>
        <v>8.86</v>
      </c>
      <c r="H17" s="259">
        <v>12.6</v>
      </c>
      <c r="I17" s="264">
        <f t="shared" ref="I17:I23" si="0">ROUND((H17*E17),2)</f>
        <v>12.6</v>
      </c>
      <c r="J17" s="45"/>
      <c r="K17" s="22"/>
      <c r="L17" s="26"/>
      <c r="M17" s="22"/>
      <c r="N17" s="26"/>
      <c r="O17" s="22"/>
      <c r="P17" s="26"/>
      <c r="Q17" s="22"/>
      <c r="R17" s="26"/>
      <c r="S17" s="22"/>
      <c r="T17" s="26"/>
      <c r="U17" s="22"/>
      <c r="V17" s="26"/>
      <c r="W17" s="22"/>
      <c r="X17" s="26"/>
      <c r="Y17" s="22"/>
      <c r="Z17" s="26"/>
      <c r="AA17" s="22"/>
      <c r="AB17" s="26"/>
      <c r="AC17" s="22"/>
      <c r="AD17" s="26"/>
      <c r="AE17" s="22"/>
      <c r="AF17" s="26"/>
      <c r="AG17" s="22"/>
      <c r="AH17" s="26"/>
      <c r="AI17" s="22"/>
    </row>
    <row r="18" spans="1:35" s="25" customFormat="1" ht="25.5">
      <c r="A18" s="261" t="s">
        <v>325</v>
      </c>
      <c r="B18" s="256">
        <v>72898</v>
      </c>
      <c r="C18" s="262" t="s">
        <v>31</v>
      </c>
      <c r="D18" s="257" t="s">
        <v>328</v>
      </c>
      <c r="E18" s="259">
        <v>4.13</v>
      </c>
      <c r="F18" s="256" t="s">
        <v>269</v>
      </c>
      <c r="G18" s="268">
        <v>3.87</v>
      </c>
      <c r="H18" s="259">
        <f>ROUND((G18*$I$7)+G18,2)</f>
        <v>5.0199999999999996</v>
      </c>
      <c r="I18" s="264">
        <f t="shared" si="0"/>
        <v>20.73</v>
      </c>
      <c r="J18" s="45"/>
      <c r="K18" s="22"/>
      <c r="L18" s="26"/>
      <c r="M18" s="22"/>
      <c r="N18" s="26"/>
      <c r="O18" s="22"/>
      <c r="P18" s="26"/>
      <c r="Q18" s="22"/>
      <c r="R18" s="26"/>
      <c r="S18" s="22"/>
      <c r="T18" s="26"/>
      <c r="U18" s="22"/>
      <c r="V18" s="26"/>
      <c r="W18" s="22"/>
      <c r="X18" s="26"/>
      <c r="Y18" s="22"/>
      <c r="Z18" s="26"/>
      <c r="AA18" s="22"/>
      <c r="AB18" s="26"/>
      <c r="AC18" s="22"/>
      <c r="AD18" s="26"/>
      <c r="AE18" s="22"/>
      <c r="AF18" s="26"/>
      <c r="AG18" s="22"/>
      <c r="AH18" s="26"/>
      <c r="AI18" s="22"/>
    </row>
    <row r="19" spans="1:35" s="25" customFormat="1" ht="25.5">
      <c r="A19" s="261" t="s">
        <v>326</v>
      </c>
      <c r="B19" s="256">
        <v>72900</v>
      </c>
      <c r="C19" s="262" t="s">
        <v>31</v>
      </c>
      <c r="D19" s="257" t="s">
        <v>329</v>
      </c>
      <c r="E19" s="259">
        <v>4.13</v>
      </c>
      <c r="F19" s="256" t="s">
        <v>269</v>
      </c>
      <c r="G19" s="259">
        <v>5.84</v>
      </c>
      <c r="H19" s="259">
        <f>ROUND((G19*$I$7)+G19,2)</f>
        <v>7.58</v>
      </c>
      <c r="I19" s="264">
        <f t="shared" si="0"/>
        <v>31.31</v>
      </c>
      <c r="J19" s="45"/>
      <c r="K19" s="22"/>
      <c r="L19" s="26"/>
      <c r="M19" s="22"/>
      <c r="N19" s="26"/>
      <c r="O19" s="22"/>
      <c r="P19" s="26"/>
      <c r="Q19" s="22"/>
      <c r="R19" s="26"/>
      <c r="S19" s="22"/>
      <c r="T19" s="26"/>
      <c r="U19" s="22"/>
      <c r="V19" s="26"/>
      <c r="W19" s="22"/>
      <c r="X19" s="26"/>
      <c r="Y19" s="22"/>
      <c r="Z19" s="26"/>
      <c r="AA19" s="22"/>
      <c r="AB19" s="26"/>
      <c r="AC19" s="22"/>
      <c r="AD19" s="26"/>
      <c r="AE19" s="22"/>
      <c r="AF19" s="26"/>
      <c r="AG19" s="22"/>
      <c r="AH19" s="26"/>
      <c r="AI19" s="22"/>
    </row>
    <row r="20" spans="1:35">
      <c r="A20" s="231"/>
      <c r="B20" s="232"/>
      <c r="C20" s="233"/>
      <c r="D20" s="237" t="s">
        <v>353</v>
      </c>
      <c r="E20" s="235"/>
      <c r="F20" s="232"/>
      <c r="G20" s="235"/>
      <c r="H20" s="235"/>
      <c r="I20" s="236"/>
      <c r="J20" s="96"/>
      <c r="K20" s="97"/>
      <c r="L20" s="98"/>
      <c r="M20" s="97"/>
      <c r="N20" s="98"/>
      <c r="O20" s="97"/>
      <c r="P20" s="98"/>
      <c r="Q20" s="97"/>
      <c r="R20" s="98"/>
      <c r="S20" s="97"/>
      <c r="T20" s="98"/>
      <c r="U20" s="97"/>
      <c r="V20" s="98"/>
      <c r="W20" s="97"/>
      <c r="X20" s="98"/>
      <c r="Y20" s="97"/>
      <c r="Z20" s="98"/>
      <c r="AA20" s="97"/>
      <c r="AB20" s="98"/>
      <c r="AC20" s="97"/>
      <c r="AD20" s="98"/>
      <c r="AE20" s="97"/>
      <c r="AF20" s="98"/>
      <c r="AG20" s="97"/>
      <c r="AH20" s="98"/>
      <c r="AI20" s="97"/>
    </row>
    <row r="21" spans="1:35" s="25" customFormat="1" ht="25.5">
      <c r="A21" s="261" t="s">
        <v>327</v>
      </c>
      <c r="B21" s="256" t="s">
        <v>355</v>
      </c>
      <c r="C21" s="262" t="s">
        <v>31</v>
      </c>
      <c r="D21" s="257" t="s">
        <v>356</v>
      </c>
      <c r="E21" s="259">
        <v>270.37</v>
      </c>
      <c r="F21" s="256" t="s">
        <v>258</v>
      </c>
      <c r="G21" s="259">
        <v>0.52</v>
      </c>
      <c r="H21" s="259">
        <f>ROUND((G21*$I$7)+G21,2)</f>
        <v>0.67</v>
      </c>
      <c r="I21" s="264">
        <f t="shared" si="0"/>
        <v>181.15</v>
      </c>
      <c r="J21" s="45"/>
      <c r="K21" s="22"/>
      <c r="L21" s="26"/>
      <c r="M21" s="22"/>
      <c r="N21" s="26"/>
      <c r="O21" s="22"/>
      <c r="P21" s="26"/>
      <c r="Q21" s="22"/>
      <c r="R21" s="26"/>
      <c r="S21" s="22"/>
      <c r="T21" s="26"/>
      <c r="U21" s="22"/>
      <c r="V21" s="26"/>
      <c r="W21" s="22"/>
      <c r="X21" s="26"/>
      <c r="Y21" s="22"/>
      <c r="Z21" s="26"/>
      <c r="AA21" s="22"/>
      <c r="AB21" s="26"/>
      <c r="AC21" s="22"/>
      <c r="AD21" s="26"/>
      <c r="AE21" s="22"/>
      <c r="AF21" s="26"/>
      <c r="AG21" s="22"/>
      <c r="AH21" s="26"/>
      <c r="AI21" s="22"/>
    </row>
    <row r="22" spans="1:35">
      <c r="A22" s="231"/>
      <c r="B22" s="232"/>
      <c r="C22" s="233"/>
      <c r="D22" s="237" t="s">
        <v>354</v>
      </c>
      <c r="E22" s="235"/>
      <c r="F22" s="232"/>
      <c r="G22" s="235"/>
      <c r="H22" s="235"/>
      <c r="I22" s="236"/>
      <c r="J22" s="96"/>
      <c r="K22" s="97"/>
      <c r="L22" s="98"/>
      <c r="M22" s="97"/>
      <c r="N22" s="98"/>
      <c r="O22" s="97"/>
      <c r="P22" s="98"/>
      <c r="Q22" s="97"/>
      <c r="R22" s="98"/>
      <c r="S22" s="97"/>
      <c r="T22" s="98"/>
      <c r="U22" s="97"/>
      <c r="V22" s="98"/>
      <c r="W22" s="97"/>
      <c r="X22" s="98"/>
      <c r="Y22" s="97"/>
      <c r="Z22" s="98"/>
      <c r="AA22" s="97"/>
      <c r="AB22" s="98"/>
      <c r="AC22" s="97"/>
      <c r="AD22" s="98"/>
      <c r="AE22" s="97"/>
      <c r="AF22" s="98"/>
      <c r="AG22" s="97"/>
      <c r="AH22" s="98"/>
      <c r="AI22" s="97"/>
    </row>
    <row r="23" spans="1:35" s="25" customFormat="1" ht="38.25">
      <c r="A23" s="261" t="s">
        <v>630</v>
      </c>
      <c r="B23" s="256" t="s">
        <v>256</v>
      </c>
      <c r="C23" s="262" t="s">
        <v>31</v>
      </c>
      <c r="D23" s="257" t="s">
        <v>257</v>
      </c>
      <c r="E23" s="259">
        <v>224.91</v>
      </c>
      <c r="F23" s="256" t="s">
        <v>258</v>
      </c>
      <c r="G23" s="259">
        <v>8.9</v>
      </c>
      <c r="H23" s="259">
        <f>ROUND((G23*$I$7)+G23,2)</f>
        <v>11.54</v>
      </c>
      <c r="I23" s="264">
        <f t="shared" si="0"/>
        <v>2595.46</v>
      </c>
      <c r="J23" s="45"/>
      <c r="K23" s="22"/>
      <c r="L23" s="26"/>
      <c r="M23" s="22"/>
      <c r="N23" s="26"/>
      <c r="O23" s="22"/>
      <c r="P23" s="26"/>
      <c r="Q23" s="22"/>
      <c r="R23" s="26"/>
      <c r="S23" s="22"/>
      <c r="T23" s="26"/>
      <c r="U23" s="22"/>
      <c r="V23" s="26"/>
      <c r="W23" s="22"/>
      <c r="X23" s="26"/>
      <c r="Y23" s="22"/>
      <c r="Z23" s="26"/>
      <c r="AA23" s="22"/>
      <c r="AB23" s="26"/>
      <c r="AC23" s="22"/>
      <c r="AD23" s="26"/>
      <c r="AE23" s="22"/>
      <c r="AF23" s="26"/>
      <c r="AG23" s="22"/>
      <c r="AH23" s="26"/>
      <c r="AI23" s="22"/>
    </row>
    <row r="24" spans="1:35" s="25" customFormat="1">
      <c r="A24" s="89">
        <v>2</v>
      </c>
      <c r="B24" s="62"/>
      <c r="C24" s="62"/>
      <c r="D24" s="58" t="s">
        <v>120</v>
      </c>
      <c r="E24" s="214"/>
      <c r="F24" s="62"/>
      <c r="G24" s="60"/>
      <c r="H24" s="60"/>
      <c r="I24" s="85">
        <f>SUBTOTAL(9,I26:I39)</f>
        <v>20872.189999999999</v>
      </c>
      <c r="J24" s="45"/>
      <c r="K24" s="22"/>
      <c r="L24" s="26"/>
      <c r="M24" s="22"/>
      <c r="N24" s="26"/>
      <c r="O24" s="22"/>
      <c r="P24" s="26"/>
      <c r="Q24" s="22"/>
      <c r="R24" s="26"/>
      <c r="S24" s="22"/>
      <c r="T24" s="26"/>
      <c r="U24" s="22"/>
      <c r="V24" s="26"/>
      <c r="W24" s="22"/>
      <c r="X24" s="26"/>
      <c r="Y24" s="22"/>
      <c r="Z24" s="26"/>
      <c r="AA24" s="22"/>
      <c r="AB24" s="26"/>
      <c r="AC24" s="22"/>
      <c r="AD24" s="26"/>
      <c r="AE24" s="22"/>
      <c r="AF24" s="26"/>
      <c r="AG24" s="22"/>
      <c r="AH24" s="26"/>
      <c r="AI24" s="22"/>
    </row>
    <row r="25" spans="1:35">
      <c r="A25" s="238"/>
      <c r="B25" s="239"/>
      <c r="C25" s="240"/>
      <c r="D25" s="237" t="s">
        <v>331</v>
      </c>
      <c r="E25" s="235"/>
      <c r="F25" s="232"/>
      <c r="G25" s="235"/>
      <c r="H25" s="235"/>
      <c r="I25" s="241"/>
      <c r="J25" s="44"/>
      <c r="K25" s="34"/>
      <c r="L25" s="86"/>
      <c r="M25" s="34"/>
      <c r="N25" s="21"/>
      <c r="O25" s="34"/>
      <c r="P25" s="21"/>
      <c r="Q25" s="34"/>
      <c r="R25" s="21"/>
      <c r="S25" s="34"/>
      <c r="T25" s="21"/>
      <c r="U25" s="34"/>
      <c r="V25" s="21"/>
      <c r="W25" s="34"/>
      <c r="X25" s="21"/>
      <c r="Y25" s="34"/>
      <c r="Z25" s="21"/>
      <c r="AA25" s="34"/>
      <c r="AB25" s="21"/>
      <c r="AC25" s="34"/>
      <c r="AD25" s="21"/>
      <c r="AE25" s="34"/>
      <c r="AF25" s="21"/>
      <c r="AG25" s="34"/>
      <c r="AH25" s="21"/>
      <c r="AI25" s="34"/>
    </row>
    <row r="26" spans="1:35">
      <c r="A26" s="261" t="s">
        <v>28</v>
      </c>
      <c r="B26" s="256" t="s">
        <v>265</v>
      </c>
      <c r="C26" s="262" t="s">
        <v>69</v>
      </c>
      <c r="D26" s="269" t="s">
        <v>266</v>
      </c>
      <c r="E26" s="259">
        <v>66</v>
      </c>
      <c r="F26" s="256" t="s">
        <v>67</v>
      </c>
      <c r="G26" s="259">
        <f>ROUND(H26*0.7029,2)</f>
        <v>26.77</v>
      </c>
      <c r="H26" s="259">
        <v>38.090000000000003</v>
      </c>
      <c r="I26" s="270">
        <f t="shared" ref="I26:I36" si="1">ROUND((H26*E26),2)</f>
        <v>2513.94</v>
      </c>
      <c r="J26" s="44"/>
      <c r="K26" s="34"/>
      <c r="L26" s="21"/>
      <c r="M26" s="34"/>
      <c r="N26" s="21"/>
      <c r="O26" s="34"/>
      <c r="P26" s="21"/>
      <c r="Q26" s="34"/>
      <c r="R26" s="21"/>
      <c r="S26" s="34"/>
      <c r="T26" s="21"/>
      <c r="U26" s="34"/>
      <c r="V26" s="21"/>
      <c r="W26" s="34"/>
      <c r="X26" s="21"/>
      <c r="Y26" s="34"/>
      <c r="Z26" s="21"/>
      <c r="AA26" s="34"/>
      <c r="AB26" s="21"/>
      <c r="AC26" s="34"/>
      <c r="AD26" s="21"/>
      <c r="AE26" s="34"/>
      <c r="AF26" s="21"/>
      <c r="AG26" s="34"/>
      <c r="AH26" s="21"/>
      <c r="AI26" s="34"/>
    </row>
    <row r="27" spans="1:35">
      <c r="A27" s="238"/>
      <c r="B27" s="232"/>
      <c r="C27" s="233"/>
      <c r="D27" s="237" t="s">
        <v>332</v>
      </c>
      <c r="E27" s="235"/>
      <c r="F27" s="232"/>
      <c r="G27" s="235"/>
      <c r="H27" s="235"/>
      <c r="I27" s="241"/>
      <c r="J27" s="44"/>
      <c r="K27" s="34"/>
      <c r="L27" s="21"/>
      <c r="M27" s="34"/>
      <c r="N27" s="21"/>
      <c r="O27" s="34"/>
      <c r="P27" s="21"/>
      <c r="Q27" s="34"/>
      <c r="R27" s="21"/>
      <c r="S27" s="34"/>
      <c r="T27" s="21"/>
      <c r="U27" s="34"/>
      <c r="V27" s="21"/>
      <c r="W27" s="34"/>
      <c r="X27" s="21"/>
      <c r="Y27" s="34"/>
      <c r="Z27" s="21"/>
      <c r="AA27" s="34"/>
      <c r="AB27" s="21"/>
      <c r="AC27" s="34"/>
      <c r="AD27" s="21"/>
      <c r="AE27" s="34"/>
      <c r="AF27" s="21"/>
      <c r="AG27" s="34"/>
      <c r="AH27" s="21"/>
      <c r="AI27" s="34"/>
    </row>
    <row r="28" spans="1:35" s="18" customFormat="1" ht="12.75" customHeight="1">
      <c r="A28" s="261" t="s">
        <v>46</v>
      </c>
      <c r="B28" s="256" t="s">
        <v>260</v>
      </c>
      <c r="C28" s="262" t="s">
        <v>69</v>
      </c>
      <c r="D28" s="271" t="s">
        <v>261</v>
      </c>
      <c r="E28" s="259">
        <v>82.92</v>
      </c>
      <c r="F28" s="256" t="s">
        <v>37</v>
      </c>
      <c r="G28" s="259">
        <f>ROUND(H28*0.7029,2)</f>
        <v>7.18</v>
      </c>
      <c r="H28" s="259">
        <v>10.220000000000001</v>
      </c>
      <c r="I28" s="270">
        <f t="shared" si="1"/>
        <v>847.44</v>
      </c>
      <c r="J28" s="44">
        <f t="shared" ref="J28" si="2">ROUND(K28*$I$14,2)</f>
        <v>0</v>
      </c>
      <c r="K28" s="42"/>
      <c r="L28" s="21">
        <f t="shared" ref="L28" si="3">ROUND(M28*$I$14,2)</f>
        <v>0</v>
      </c>
      <c r="M28" s="42"/>
      <c r="N28" s="21">
        <f t="shared" ref="N28" si="4">ROUND(O28*$I$14,2)</f>
        <v>0</v>
      </c>
      <c r="O28" s="42"/>
      <c r="P28" s="21">
        <f t="shared" ref="P28" si="5">ROUND(Q28*$I$14,2)</f>
        <v>0</v>
      </c>
      <c r="Q28" s="42"/>
      <c r="R28" s="21">
        <f t="shared" ref="R28" si="6">ROUND(S28*$I$14,2)</f>
        <v>0</v>
      </c>
      <c r="S28" s="42"/>
      <c r="T28" s="21">
        <f t="shared" ref="T28" si="7">ROUND(U28*$I$14,2)</f>
        <v>0</v>
      </c>
      <c r="U28" s="42"/>
      <c r="V28" s="21">
        <f t="shared" ref="V28" si="8">ROUND(W28*$I$14,2)</f>
        <v>0</v>
      </c>
      <c r="W28" s="42"/>
      <c r="X28" s="21">
        <f t="shared" ref="X28" si="9">ROUND(Y28*$I$14,2)</f>
        <v>0</v>
      </c>
      <c r="Y28" s="42"/>
      <c r="Z28" s="21">
        <f t="shared" ref="Z28" si="10">ROUND(AA28*$I$14,2)</f>
        <v>0</v>
      </c>
      <c r="AA28" s="42"/>
      <c r="AB28" s="21">
        <f t="shared" ref="AB28" si="11">ROUND(AC28*$I$14,2)</f>
        <v>0</v>
      </c>
      <c r="AC28" s="42"/>
      <c r="AD28" s="21">
        <f t="shared" ref="AD28" si="12">ROUND(AE28*$I$14,2)</f>
        <v>0</v>
      </c>
      <c r="AE28" s="42"/>
      <c r="AF28" s="21">
        <f t="shared" ref="AF28" si="13">ROUND(AG28*$I$14,2)</f>
        <v>0</v>
      </c>
      <c r="AG28" s="42"/>
      <c r="AH28" s="21">
        <f t="shared" ref="AH28" si="14">ROUND(AI28*$I$14,2)</f>
        <v>0</v>
      </c>
      <c r="AI28" s="42"/>
    </row>
    <row r="29" spans="1:35">
      <c r="A29" s="238"/>
      <c r="B29" s="232"/>
      <c r="C29" s="233"/>
      <c r="D29" s="237" t="s">
        <v>357</v>
      </c>
      <c r="E29" s="235"/>
      <c r="F29" s="232"/>
      <c r="G29" s="235"/>
      <c r="H29" s="235"/>
      <c r="I29" s="241"/>
      <c r="J29" s="44"/>
      <c r="K29" s="34"/>
      <c r="L29" s="21"/>
      <c r="M29" s="34"/>
      <c r="N29" s="21"/>
      <c r="O29" s="34"/>
      <c r="P29" s="21"/>
      <c r="Q29" s="34"/>
      <c r="R29" s="21"/>
      <c r="S29" s="34"/>
      <c r="T29" s="21"/>
      <c r="U29" s="34"/>
      <c r="V29" s="21"/>
      <c r="W29" s="34"/>
      <c r="X29" s="21"/>
      <c r="Y29" s="34"/>
      <c r="Z29" s="21"/>
      <c r="AA29" s="34"/>
      <c r="AB29" s="21"/>
      <c r="AC29" s="34"/>
      <c r="AD29" s="21"/>
      <c r="AE29" s="34"/>
      <c r="AF29" s="21"/>
      <c r="AG29" s="34"/>
      <c r="AH29" s="21"/>
      <c r="AI29" s="34"/>
    </row>
    <row r="30" spans="1:35">
      <c r="A30" s="261" t="s">
        <v>47</v>
      </c>
      <c r="B30" s="256" t="s">
        <v>270</v>
      </c>
      <c r="C30" s="262" t="s">
        <v>69</v>
      </c>
      <c r="D30" s="257" t="s">
        <v>271</v>
      </c>
      <c r="E30" s="259">
        <v>11.67</v>
      </c>
      <c r="F30" s="256" t="s">
        <v>269</v>
      </c>
      <c r="G30" s="259">
        <f>ROUND(H30*0.7029,2)</f>
        <v>33.200000000000003</v>
      </c>
      <c r="H30" s="259">
        <v>47.23</v>
      </c>
      <c r="I30" s="270">
        <f t="shared" si="1"/>
        <v>551.16999999999996</v>
      </c>
      <c r="J30" s="44"/>
      <c r="K30" s="87"/>
      <c r="L30" s="21"/>
      <c r="M30" s="34"/>
      <c r="N30" s="21"/>
      <c r="O30" s="34"/>
      <c r="P30" s="21"/>
      <c r="Q30" s="34"/>
      <c r="R30" s="21"/>
      <c r="S30" s="34"/>
      <c r="T30" s="21"/>
      <c r="U30" s="34"/>
      <c r="V30" s="21"/>
      <c r="W30" s="34"/>
      <c r="X30" s="21"/>
      <c r="Y30" s="34"/>
      <c r="Z30" s="21"/>
      <c r="AA30" s="34"/>
      <c r="AB30" s="21"/>
      <c r="AC30" s="34"/>
      <c r="AD30" s="21"/>
      <c r="AE30" s="34"/>
      <c r="AF30" s="21"/>
      <c r="AG30" s="34"/>
      <c r="AH30" s="21"/>
      <c r="AI30" s="34"/>
    </row>
    <row r="31" spans="1:35">
      <c r="A31" s="261" t="s">
        <v>48</v>
      </c>
      <c r="B31" s="256" t="s">
        <v>272</v>
      </c>
      <c r="C31" s="262" t="s">
        <v>69</v>
      </c>
      <c r="D31" s="257" t="s">
        <v>273</v>
      </c>
      <c r="E31" s="259">
        <v>17.940000000000001</v>
      </c>
      <c r="F31" s="256" t="s">
        <v>258</v>
      </c>
      <c r="G31" s="259">
        <f t="shared" ref="G31:G39" si="15">ROUND(H31*0.7029,2)</f>
        <v>5.74</v>
      </c>
      <c r="H31" s="259">
        <v>8.17</v>
      </c>
      <c r="I31" s="270">
        <f t="shared" si="1"/>
        <v>146.57</v>
      </c>
      <c r="J31" s="44"/>
      <c r="K31" s="34"/>
      <c r="L31" s="21"/>
      <c r="M31" s="34"/>
      <c r="N31" s="21"/>
      <c r="O31" s="34"/>
      <c r="P31" s="21"/>
      <c r="Q31" s="34"/>
      <c r="R31" s="21"/>
      <c r="S31" s="34"/>
      <c r="T31" s="21"/>
      <c r="U31" s="34"/>
      <c r="V31" s="21"/>
      <c r="W31" s="34"/>
      <c r="X31" s="21"/>
      <c r="Y31" s="34"/>
      <c r="Z31" s="21"/>
      <c r="AA31" s="34"/>
      <c r="AB31" s="21"/>
      <c r="AC31" s="34"/>
      <c r="AD31" s="21"/>
      <c r="AE31" s="34"/>
      <c r="AF31" s="21"/>
      <c r="AG31" s="34"/>
      <c r="AH31" s="21"/>
      <c r="AI31" s="34"/>
    </row>
    <row r="32" spans="1:35">
      <c r="A32" s="261" t="s">
        <v>333</v>
      </c>
      <c r="B32" s="256" t="s">
        <v>267</v>
      </c>
      <c r="C32" s="262" t="s">
        <v>69</v>
      </c>
      <c r="D32" s="257" t="s">
        <v>268</v>
      </c>
      <c r="E32" s="259">
        <v>56.49</v>
      </c>
      <c r="F32" s="256" t="s">
        <v>258</v>
      </c>
      <c r="G32" s="259">
        <f t="shared" si="15"/>
        <v>53.01</v>
      </c>
      <c r="H32" s="259">
        <v>75.41</v>
      </c>
      <c r="I32" s="270">
        <f t="shared" si="1"/>
        <v>4259.91</v>
      </c>
      <c r="J32" s="44"/>
      <c r="K32" s="34"/>
      <c r="L32" s="21"/>
      <c r="M32" s="34"/>
      <c r="N32" s="21"/>
      <c r="O32" s="34"/>
      <c r="P32" s="21"/>
      <c r="Q32" s="34"/>
      <c r="R32" s="21"/>
      <c r="S32" s="34"/>
      <c r="T32" s="21"/>
      <c r="U32" s="34"/>
      <c r="V32" s="21"/>
      <c r="W32" s="34"/>
      <c r="X32" s="21"/>
      <c r="Y32" s="34"/>
      <c r="Z32" s="21"/>
      <c r="AA32" s="34"/>
      <c r="AB32" s="21"/>
      <c r="AC32" s="34"/>
      <c r="AD32" s="21"/>
      <c r="AE32" s="34"/>
      <c r="AF32" s="21"/>
      <c r="AG32" s="34"/>
      <c r="AH32" s="21"/>
      <c r="AI32" s="34"/>
    </row>
    <row r="33" spans="1:35">
      <c r="A33" s="261" t="s">
        <v>334</v>
      </c>
      <c r="B33" s="256" t="s">
        <v>260</v>
      </c>
      <c r="C33" s="262" t="s">
        <v>69</v>
      </c>
      <c r="D33" s="271" t="s">
        <v>261</v>
      </c>
      <c r="E33" s="259">
        <v>465.07</v>
      </c>
      <c r="F33" s="256" t="s">
        <v>262</v>
      </c>
      <c r="G33" s="259">
        <f t="shared" si="15"/>
        <v>7.18</v>
      </c>
      <c r="H33" s="259">
        <v>10.220000000000001</v>
      </c>
      <c r="I33" s="270">
        <f t="shared" si="1"/>
        <v>4753.0200000000004</v>
      </c>
      <c r="J33" s="44"/>
      <c r="K33" s="34"/>
      <c r="L33" s="21"/>
      <c r="M33" s="34"/>
      <c r="N33" s="21"/>
      <c r="O33" s="34"/>
      <c r="P33" s="21"/>
      <c r="Q33" s="34"/>
      <c r="R33" s="21"/>
      <c r="S33" s="34"/>
      <c r="T33" s="21"/>
      <c r="U33" s="34"/>
      <c r="V33" s="21"/>
      <c r="W33" s="34"/>
      <c r="X33" s="21"/>
      <c r="Y33" s="34"/>
      <c r="Z33" s="21"/>
      <c r="AA33" s="34"/>
      <c r="AB33" s="21"/>
      <c r="AC33" s="34"/>
      <c r="AD33" s="21"/>
      <c r="AE33" s="34"/>
      <c r="AF33" s="21"/>
      <c r="AG33" s="34"/>
      <c r="AH33" s="21"/>
      <c r="AI33" s="34"/>
    </row>
    <row r="34" spans="1:35" s="25" customFormat="1">
      <c r="A34" s="261" t="s">
        <v>335</v>
      </c>
      <c r="B34" s="256" t="s">
        <v>263</v>
      </c>
      <c r="C34" s="262" t="s">
        <v>69</v>
      </c>
      <c r="D34" s="269" t="s">
        <v>264</v>
      </c>
      <c r="E34" s="259">
        <v>73.5</v>
      </c>
      <c r="F34" s="256" t="s">
        <v>262</v>
      </c>
      <c r="G34" s="259">
        <f t="shared" si="15"/>
        <v>7.56</v>
      </c>
      <c r="H34" s="259">
        <v>10.75</v>
      </c>
      <c r="I34" s="270">
        <f t="shared" si="1"/>
        <v>790.13</v>
      </c>
      <c r="J34" s="45"/>
      <c r="K34" s="22"/>
      <c r="L34" s="26"/>
      <c r="M34" s="22"/>
      <c r="N34" s="26"/>
      <c r="O34" s="22"/>
      <c r="P34" s="26"/>
      <c r="Q34" s="22"/>
      <c r="R34" s="26"/>
      <c r="S34" s="22"/>
      <c r="T34" s="26"/>
      <c r="U34" s="22"/>
      <c r="V34" s="26"/>
      <c r="W34" s="22"/>
      <c r="X34" s="26"/>
      <c r="Y34" s="22"/>
      <c r="Z34" s="26"/>
      <c r="AA34" s="22"/>
      <c r="AB34" s="26"/>
      <c r="AC34" s="22"/>
      <c r="AD34" s="26"/>
      <c r="AE34" s="22"/>
      <c r="AF34" s="26"/>
      <c r="AG34" s="22"/>
      <c r="AH34" s="26"/>
      <c r="AI34" s="22"/>
    </row>
    <row r="35" spans="1:35">
      <c r="A35" s="261" t="s">
        <v>336</v>
      </c>
      <c r="B35" s="262" t="s">
        <v>274</v>
      </c>
      <c r="C35" s="262" t="s">
        <v>69</v>
      </c>
      <c r="D35" s="257" t="s">
        <v>275</v>
      </c>
      <c r="E35" s="259">
        <v>5.35</v>
      </c>
      <c r="F35" s="262" t="s">
        <v>269</v>
      </c>
      <c r="G35" s="259">
        <f t="shared" si="15"/>
        <v>300.98</v>
      </c>
      <c r="H35" s="259">
        <v>428.2</v>
      </c>
      <c r="I35" s="270">
        <f t="shared" si="1"/>
        <v>2290.87</v>
      </c>
      <c r="J35" s="44">
        <f t="shared" ref="J35" si="16">ROUND(K35*$I$14,2)</f>
        <v>0</v>
      </c>
      <c r="K35" s="34"/>
      <c r="L35" s="21">
        <f t="shared" ref="L35" si="17">ROUND(M35*$I$14,2)</f>
        <v>0</v>
      </c>
      <c r="M35" s="34"/>
      <c r="N35" s="21">
        <f t="shared" ref="N35" si="18">ROUND(O35*$I$14,2)</f>
        <v>0</v>
      </c>
      <c r="O35" s="34"/>
      <c r="P35" s="21">
        <f t="shared" ref="P35" si="19">ROUND(Q35*$I$14,2)</f>
        <v>0</v>
      </c>
      <c r="Q35" s="34"/>
      <c r="R35" s="21">
        <f t="shared" ref="R35" si="20">ROUND(S35*$I$14,2)</f>
        <v>0</v>
      </c>
      <c r="S35" s="34"/>
      <c r="T35" s="21">
        <f t="shared" ref="T35" si="21">ROUND(U35*$I$14,2)</f>
        <v>0</v>
      </c>
      <c r="U35" s="34"/>
      <c r="V35" s="21">
        <f t="shared" ref="V35" si="22">ROUND(W35*$I$14,2)</f>
        <v>0</v>
      </c>
      <c r="W35" s="34"/>
      <c r="X35" s="21">
        <f t="shared" ref="X35" si="23">ROUND(Y35*$I$14,2)</f>
        <v>0</v>
      </c>
      <c r="Y35" s="34"/>
      <c r="Z35" s="21">
        <f t="shared" ref="Z35" si="24">ROUND(AA35*$I$14,2)</f>
        <v>0</v>
      </c>
      <c r="AA35" s="34"/>
      <c r="AB35" s="21">
        <f t="shared" ref="AB35" si="25">ROUND(AC35*$I$14,2)</f>
        <v>0</v>
      </c>
      <c r="AC35" s="34"/>
      <c r="AD35" s="21">
        <f t="shared" ref="AD35" si="26">ROUND(AE35*$I$14,2)</f>
        <v>0</v>
      </c>
      <c r="AE35" s="34"/>
      <c r="AF35" s="21">
        <f t="shared" ref="AF35" si="27">ROUND(AG35*$I$14,2)</f>
        <v>0</v>
      </c>
      <c r="AG35" s="34"/>
      <c r="AH35" s="21">
        <f t="shared" ref="AH35" si="28">ROUND(AI35*$I$14,2)</f>
        <v>0</v>
      </c>
      <c r="AI35" s="34"/>
    </row>
    <row r="36" spans="1:35">
      <c r="A36" s="261" t="s">
        <v>337</v>
      </c>
      <c r="B36" s="256" t="s">
        <v>276</v>
      </c>
      <c r="C36" s="262" t="s">
        <v>69</v>
      </c>
      <c r="D36" s="257" t="s">
        <v>277</v>
      </c>
      <c r="E36" s="259">
        <v>15.22</v>
      </c>
      <c r="F36" s="256" t="s">
        <v>269</v>
      </c>
      <c r="G36" s="259">
        <f t="shared" si="15"/>
        <v>50.52</v>
      </c>
      <c r="H36" s="259">
        <v>71.87</v>
      </c>
      <c r="I36" s="270">
        <f t="shared" si="1"/>
        <v>1093.8599999999999</v>
      </c>
      <c r="J36" s="44">
        <f t="shared" ref="J36" si="29">ROUND(K36*$I$14,2)</f>
        <v>0</v>
      </c>
      <c r="K36" s="34"/>
      <c r="L36" s="21">
        <f t="shared" ref="L36" si="30">ROUND(M36*$I$14,2)</f>
        <v>0</v>
      </c>
      <c r="M36" s="34"/>
      <c r="N36" s="21">
        <f t="shared" ref="N36" si="31">ROUND(O36*$I$14,2)</f>
        <v>0</v>
      </c>
      <c r="O36" s="34"/>
      <c r="P36" s="21">
        <f t="shared" ref="P36" si="32">ROUND(Q36*$I$14,2)</f>
        <v>0</v>
      </c>
      <c r="Q36" s="34"/>
      <c r="R36" s="21">
        <f t="shared" ref="R36" si="33">ROUND(S36*$I$14,2)</f>
        <v>0</v>
      </c>
      <c r="S36" s="34"/>
      <c r="T36" s="21">
        <f t="shared" ref="T36" si="34">ROUND(U36*$I$14,2)</f>
        <v>0</v>
      </c>
      <c r="U36" s="34"/>
      <c r="V36" s="21">
        <f t="shared" ref="V36" si="35">ROUND(W36*$I$14,2)</f>
        <v>0</v>
      </c>
      <c r="W36" s="34"/>
      <c r="X36" s="21">
        <f t="shared" ref="X36" si="36">ROUND(Y36*$I$14,2)</f>
        <v>0</v>
      </c>
      <c r="Y36" s="34"/>
      <c r="Z36" s="21">
        <f t="shared" ref="Z36" si="37">ROUND(AA36*$I$14,2)</f>
        <v>0</v>
      </c>
      <c r="AA36" s="34"/>
      <c r="AB36" s="21">
        <f t="shared" ref="AB36" si="38">ROUND(AC36*$I$14,2)</f>
        <v>0</v>
      </c>
      <c r="AC36" s="34"/>
      <c r="AD36" s="21">
        <f t="shared" ref="AD36" si="39">ROUND(AE36*$I$14,2)</f>
        <v>0</v>
      </c>
      <c r="AE36" s="34"/>
      <c r="AF36" s="21">
        <f t="shared" ref="AF36" si="40">ROUND(AG36*$I$14,2)</f>
        <v>0</v>
      </c>
      <c r="AG36" s="34"/>
      <c r="AH36" s="21">
        <f t="shared" ref="AH36" si="41">ROUND(AI36*$I$14,2)</f>
        <v>0</v>
      </c>
      <c r="AI36" s="34"/>
    </row>
    <row r="37" spans="1:35" s="18" customFormat="1">
      <c r="A37" s="238"/>
      <c r="B37" s="232"/>
      <c r="C37" s="233"/>
      <c r="D37" s="237" t="s">
        <v>254</v>
      </c>
      <c r="E37" s="235"/>
      <c r="F37" s="232"/>
      <c r="G37" s="235"/>
      <c r="H37" s="235"/>
      <c r="I37" s="241"/>
      <c r="J37" s="46"/>
      <c r="K37" s="40"/>
      <c r="L37" s="41"/>
      <c r="M37" s="40"/>
      <c r="N37" s="41"/>
      <c r="O37" s="40"/>
      <c r="P37" s="41"/>
      <c r="Q37" s="40"/>
      <c r="R37" s="41"/>
      <c r="S37" s="40"/>
      <c r="T37" s="41"/>
      <c r="U37" s="40"/>
      <c r="V37" s="41"/>
      <c r="W37" s="40"/>
      <c r="X37" s="41"/>
      <c r="Y37" s="40"/>
      <c r="Z37" s="41"/>
      <c r="AA37" s="40"/>
      <c r="AB37" s="41"/>
      <c r="AC37" s="40"/>
      <c r="AD37" s="41"/>
      <c r="AE37" s="40"/>
      <c r="AF37" s="41"/>
      <c r="AG37" s="40"/>
      <c r="AH37" s="41"/>
      <c r="AI37" s="40"/>
    </row>
    <row r="38" spans="1:35" s="25" customFormat="1" ht="25.5">
      <c r="A38" s="261" t="s">
        <v>338</v>
      </c>
      <c r="B38" s="256" t="s">
        <v>369</v>
      </c>
      <c r="C38" s="262" t="s">
        <v>69</v>
      </c>
      <c r="D38" s="257" t="s">
        <v>370</v>
      </c>
      <c r="E38" s="259">
        <v>24.91</v>
      </c>
      <c r="F38" s="256" t="s">
        <v>258</v>
      </c>
      <c r="G38" s="259">
        <f t="shared" si="15"/>
        <v>78.58</v>
      </c>
      <c r="H38" s="259">
        <v>111.79</v>
      </c>
      <c r="I38" s="264">
        <f>ROUND((H38*E38),2)</f>
        <v>2784.69</v>
      </c>
      <c r="J38" s="45"/>
      <c r="K38" s="22"/>
      <c r="L38" s="26"/>
      <c r="M38" s="22"/>
      <c r="N38" s="26"/>
      <c r="O38" s="22"/>
      <c r="P38" s="26"/>
      <c r="Q38" s="22"/>
      <c r="R38" s="26"/>
      <c r="S38" s="22"/>
      <c r="T38" s="26"/>
      <c r="U38" s="22"/>
      <c r="V38" s="26"/>
      <c r="W38" s="22"/>
      <c r="X38" s="26"/>
      <c r="Y38" s="22"/>
      <c r="Z38" s="26"/>
      <c r="AA38" s="22"/>
      <c r="AB38" s="26"/>
      <c r="AC38" s="22"/>
      <c r="AD38" s="26"/>
      <c r="AE38" s="22"/>
      <c r="AF38" s="26"/>
      <c r="AG38" s="22"/>
      <c r="AH38" s="26"/>
      <c r="AI38" s="22"/>
    </row>
    <row r="39" spans="1:35" s="18" customFormat="1" ht="25.5">
      <c r="A39" s="261" t="s">
        <v>371</v>
      </c>
      <c r="B39" s="256" t="s">
        <v>278</v>
      </c>
      <c r="C39" s="262" t="s">
        <v>69</v>
      </c>
      <c r="D39" s="257" t="s">
        <v>279</v>
      </c>
      <c r="E39" s="259">
        <v>4.32</v>
      </c>
      <c r="F39" s="256" t="s">
        <v>258</v>
      </c>
      <c r="G39" s="259">
        <f t="shared" si="15"/>
        <v>136.77000000000001</v>
      </c>
      <c r="H39" s="259">
        <v>194.58</v>
      </c>
      <c r="I39" s="264">
        <f>ROUND((H39*E39),2)</f>
        <v>840.59</v>
      </c>
      <c r="J39" s="44">
        <f t="shared" ref="J39" si="42">ROUND(K39*$I$14,2)</f>
        <v>0</v>
      </c>
      <c r="K39" s="42"/>
      <c r="L39" s="21">
        <f t="shared" ref="L39" si="43">ROUND(M39*$I$14,2)</f>
        <v>0</v>
      </c>
      <c r="M39" s="42"/>
      <c r="N39" s="21">
        <f t="shared" ref="N39" si="44">ROUND(O39*$I$14,2)</f>
        <v>0</v>
      </c>
      <c r="O39" s="42"/>
      <c r="P39" s="21">
        <f t="shared" ref="P39" si="45">ROUND(Q39*$I$14,2)</f>
        <v>0</v>
      </c>
      <c r="Q39" s="42"/>
      <c r="R39" s="21">
        <f t="shared" ref="R39" si="46">ROUND(S39*$I$14,2)</f>
        <v>0</v>
      </c>
      <c r="S39" s="42"/>
      <c r="T39" s="21">
        <f t="shared" ref="T39" si="47">ROUND(U39*$I$14,2)</f>
        <v>0</v>
      </c>
      <c r="U39" s="42"/>
      <c r="V39" s="21">
        <f t="shared" ref="V39" si="48">ROUND(W39*$I$14,2)</f>
        <v>0</v>
      </c>
      <c r="W39" s="42"/>
      <c r="X39" s="21">
        <f t="shared" ref="X39" si="49">ROUND(Y39*$I$14,2)</f>
        <v>0</v>
      </c>
      <c r="Y39" s="42"/>
      <c r="Z39" s="21">
        <f t="shared" ref="Z39" si="50">ROUND(AA39*$I$14,2)</f>
        <v>0</v>
      </c>
      <c r="AA39" s="42"/>
      <c r="AB39" s="21">
        <f t="shared" ref="AB39" si="51">ROUND(AC39*$I$14,2)</f>
        <v>0</v>
      </c>
      <c r="AC39" s="42"/>
      <c r="AD39" s="21">
        <f t="shared" ref="AD39" si="52">ROUND(AE39*$I$14,2)</f>
        <v>0</v>
      </c>
      <c r="AE39" s="42"/>
      <c r="AF39" s="21">
        <f t="shared" ref="AF39" si="53">ROUND(AG39*$I$14,2)</f>
        <v>0</v>
      </c>
      <c r="AG39" s="42"/>
      <c r="AH39" s="21">
        <f t="shared" ref="AH39" si="54">ROUND(AI39*$I$14,2)</f>
        <v>0</v>
      </c>
      <c r="AI39" s="42"/>
    </row>
    <row r="40" spans="1:35" s="18" customFormat="1">
      <c r="A40" s="89">
        <v>3</v>
      </c>
      <c r="B40" s="62"/>
      <c r="C40" s="62"/>
      <c r="D40" s="58" t="s">
        <v>49</v>
      </c>
      <c r="E40" s="215"/>
      <c r="F40" s="62"/>
      <c r="G40" s="60"/>
      <c r="H40" s="60"/>
      <c r="I40" s="85">
        <f>SUBTOTAL(9,I41:I55)</f>
        <v>27868.7</v>
      </c>
      <c r="J40" s="44">
        <f t="shared" ref="J40:J41" si="55">ROUND(K40*$I$14,2)</f>
        <v>0</v>
      </c>
      <c r="K40" s="42"/>
      <c r="L40" s="21">
        <f t="shared" ref="L40:L41" si="56">ROUND(M40*$I$14,2)</f>
        <v>0</v>
      </c>
      <c r="M40" s="42"/>
      <c r="N40" s="21">
        <f t="shared" ref="N40:N41" si="57">ROUND(O40*$I$14,2)</f>
        <v>0</v>
      </c>
      <c r="O40" s="42"/>
      <c r="P40" s="21">
        <f t="shared" ref="P40:P41" si="58">ROUND(Q40*$I$14,2)</f>
        <v>0</v>
      </c>
      <c r="Q40" s="42"/>
      <c r="R40" s="21">
        <f t="shared" ref="R40:R41" si="59">ROUND(S40*$I$14,2)</f>
        <v>0</v>
      </c>
      <c r="S40" s="42"/>
      <c r="T40" s="21">
        <f t="shared" ref="T40:T41" si="60">ROUND(U40*$I$14,2)</f>
        <v>0</v>
      </c>
      <c r="U40" s="42"/>
      <c r="V40" s="21">
        <f t="shared" ref="V40:V41" si="61">ROUND(W40*$I$14,2)</f>
        <v>0</v>
      </c>
      <c r="W40" s="42"/>
      <c r="X40" s="21">
        <f t="shared" ref="X40:X41" si="62">ROUND(Y40*$I$14,2)</f>
        <v>0</v>
      </c>
      <c r="Y40" s="42"/>
      <c r="Z40" s="21">
        <f t="shared" ref="Z40:Z41" si="63">ROUND(AA40*$I$14,2)</f>
        <v>0</v>
      </c>
      <c r="AA40" s="42"/>
      <c r="AB40" s="21">
        <f t="shared" ref="AB40:AB41" si="64">ROUND(AC40*$I$14,2)</f>
        <v>0</v>
      </c>
      <c r="AC40" s="42"/>
      <c r="AD40" s="21">
        <f t="shared" ref="AD40:AD41" si="65">ROUND(AE40*$I$14,2)</f>
        <v>0</v>
      </c>
      <c r="AE40" s="42"/>
      <c r="AF40" s="21">
        <f t="shared" ref="AF40:AF41" si="66">ROUND(AG40*$I$14,2)</f>
        <v>0</v>
      </c>
      <c r="AG40" s="42"/>
      <c r="AH40" s="21">
        <f t="shared" ref="AH40:AH41" si="67">ROUND(AI40*$I$14,2)</f>
        <v>0</v>
      </c>
      <c r="AI40" s="42"/>
    </row>
    <row r="41" spans="1:35">
      <c r="A41" s="238"/>
      <c r="B41" s="232"/>
      <c r="C41" s="233"/>
      <c r="D41" s="237" t="s">
        <v>345</v>
      </c>
      <c r="E41" s="235"/>
      <c r="F41" s="242"/>
      <c r="G41" s="235"/>
      <c r="H41" s="235"/>
      <c r="I41" s="241"/>
      <c r="J41" s="44">
        <f t="shared" si="55"/>
        <v>0</v>
      </c>
      <c r="K41" s="34"/>
      <c r="L41" s="21">
        <f t="shared" si="56"/>
        <v>0</v>
      </c>
      <c r="M41" s="34"/>
      <c r="N41" s="21">
        <f t="shared" si="57"/>
        <v>0</v>
      </c>
      <c r="O41" s="34"/>
      <c r="P41" s="21">
        <f t="shared" si="58"/>
        <v>0</v>
      </c>
      <c r="Q41" s="34"/>
      <c r="R41" s="21">
        <f t="shared" si="59"/>
        <v>0</v>
      </c>
      <c r="S41" s="34"/>
      <c r="T41" s="21">
        <f t="shared" si="60"/>
        <v>0</v>
      </c>
      <c r="U41" s="34"/>
      <c r="V41" s="21">
        <f t="shared" si="61"/>
        <v>0</v>
      </c>
      <c r="W41" s="34"/>
      <c r="X41" s="21">
        <f t="shared" si="62"/>
        <v>0</v>
      </c>
      <c r="Y41" s="34"/>
      <c r="Z41" s="21">
        <f t="shared" si="63"/>
        <v>0</v>
      </c>
      <c r="AA41" s="34"/>
      <c r="AB41" s="21">
        <f t="shared" si="64"/>
        <v>0</v>
      </c>
      <c r="AC41" s="34"/>
      <c r="AD41" s="21">
        <f t="shared" si="65"/>
        <v>0</v>
      </c>
      <c r="AE41" s="34"/>
      <c r="AF41" s="21">
        <f t="shared" si="66"/>
        <v>0</v>
      </c>
      <c r="AG41" s="34"/>
      <c r="AH41" s="21">
        <f t="shared" si="67"/>
        <v>0</v>
      </c>
      <c r="AI41" s="34"/>
    </row>
    <row r="42" spans="1:35" s="25" customFormat="1">
      <c r="A42" s="261" t="s">
        <v>29</v>
      </c>
      <c r="B42" s="256" t="s">
        <v>267</v>
      </c>
      <c r="C42" s="262" t="s">
        <v>69</v>
      </c>
      <c r="D42" s="257" t="s">
        <v>268</v>
      </c>
      <c r="E42" s="259">
        <v>45.6</v>
      </c>
      <c r="F42" s="256" t="s">
        <v>258</v>
      </c>
      <c r="G42" s="259">
        <f t="shared" ref="G42:G45" si="68">ROUND(H42*0.7029,2)</f>
        <v>53.01</v>
      </c>
      <c r="H42" s="259">
        <v>75.41</v>
      </c>
      <c r="I42" s="270">
        <f t="shared" ref="I42:I52" si="69">ROUND((H42*E42),2)</f>
        <v>3438.7</v>
      </c>
      <c r="J42" s="45"/>
      <c r="K42" s="22"/>
      <c r="L42" s="26"/>
      <c r="M42" s="22"/>
      <c r="N42" s="26"/>
      <c r="O42" s="22"/>
      <c r="P42" s="26"/>
      <c r="Q42" s="22"/>
      <c r="R42" s="26"/>
      <c r="S42" s="22"/>
      <c r="T42" s="26"/>
      <c r="U42" s="22"/>
      <c r="V42" s="26"/>
      <c r="W42" s="22"/>
      <c r="X42" s="26"/>
      <c r="Y42" s="22"/>
      <c r="Z42" s="26"/>
      <c r="AA42" s="22"/>
      <c r="AB42" s="26"/>
      <c r="AC42" s="22"/>
      <c r="AD42" s="26"/>
      <c r="AE42" s="22"/>
      <c r="AF42" s="26"/>
      <c r="AG42" s="22"/>
      <c r="AH42" s="26"/>
      <c r="AI42" s="22"/>
    </row>
    <row r="43" spans="1:35">
      <c r="A43" s="261" t="s">
        <v>40</v>
      </c>
      <c r="B43" s="256" t="s">
        <v>260</v>
      </c>
      <c r="C43" s="262" t="s">
        <v>69</v>
      </c>
      <c r="D43" s="271" t="s">
        <v>261</v>
      </c>
      <c r="E43" s="259">
        <v>260.02</v>
      </c>
      <c r="F43" s="256" t="s">
        <v>262</v>
      </c>
      <c r="G43" s="259">
        <f t="shared" si="68"/>
        <v>7.18</v>
      </c>
      <c r="H43" s="259">
        <v>10.220000000000001</v>
      </c>
      <c r="I43" s="270">
        <f t="shared" si="69"/>
        <v>2657.4</v>
      </c>
      <c r="J43" s="44">
        <f t="shared" ref="J43:J44" si="70">ROUND(K43*$I$14,2)</f>
        <v>0</v>
      </c>
      <c r="K43" s="34"/>
      <c r="L43" s="21">
        <f t="shared" ref="L43:L44" si="71">ROUND(M43*$I$14,2)</f>
        <v>0</v>
      </c>
      <c r="M43" s="34"/>
      <c r="N43" s="21">
        <f t="shared" ref="N43:N44" si="72">ROUND(O43*$I$14,2)</f>
        <v>0</v>
      </c>
      <c r="O43" s="34"/>
      <c r="P43" s="21">
        <f t="shared" ref="P43:P44" si="73">ROUND(Q43*$I$14,2)</f>
        <v>0</v>
      </c>
      <c r="Q43" s="34"/>
      <c r="R43" s="21">
        <f t="shared" ref="R43:R44" si="74">ROUND(S43*$I$14,2)</f>
        <v>0</v>
      </c>
      <c r="S43" s="34"/>
      <c r="T43" s="21">
        <f t="shared" ref="T43:T44" si="75">ROUND(U43*$I$14,2)</f>
        <v>0</v>
      </c>
      <c r="U43" s="34"/>
      <c r="V43" s="21">
        <f t="shared" ref="V43:V44" si="76">ROUND(W43*$I$14,2)</f>
        <v>0</v>
      </c>
      <c r="W43" s="34"/>
      <c r="X43" s="21">
        <f t="shared" ref="X43:X44" si="77">ROUND(Y43*$I$14,2)</f>
        <v>0</v>
      </c>
      <c r="Y43" s="34"/>
      <c r="Z43" s="21">
        <f t="shared" ref="Z43:Z44" si="78">ROUND(AA43*$I$14,2)</f>
        <v>0</v>
      </c>
      <c r="AA43" s="34"/>
      <c r="AB43" s="21">
        <f t="shared" ref="AB43:AB44" si="79">ROUND(AC43*$I$14,2)</f>
        <v>0</v>
      </c>
      <c r="AC43" s="34"/>
      <c r="AD43" s="21">
        <f t="shared" ref="AD43:AD44" si="80">ROUND(AE43*$I$14,2)</f>
        <v>0</v>
      </c>
      <c r="AE43" s="34"/>
      <c r="AF43" s="21">
        <f t="shared" ref="AF43:AF44" si="81">ROUND(AG43*$I$14,2)</f>
        <v>0</v>
      </c>
      <c r="AG43" s="34"/>
      <c r="AH43" s="21">
        <f t="shared" ref="AH43:AH44" si="82">ROUND(AI43*$I$14,2)</f>
        <v>0</v>
      </c>
      <c r="AI43" s="34"/>
    </row>
    <row r="44" spans="1:35">
      <c r="A44" s="261" t="s">
        <v>121</v>
      </c>
      <c r="B44" s="256" t="s">
        <v>263</v>
      </c>
      <c r="C44" s="262" t="s">
        <v>69</v>
      </c>
      <c r="D44" s="269" t="s">
        <v>264</v>
      </c>
      <c r="E44" s="259">
        <v>38.119999999999997</v>
      </c>
      <c r="F44" s="256" t="s">
        <v>262</v>
      </c>
      <c r="G44" s="259">
        <f t="shared" si="68"/>
        <v>7.56</v>
      </c>
      <c r="H44" s="259">
        <v>10.75</v>
      </c>
      <c r="I44" s="270">
        <f t="shared" si="69"/>
        <v>409.79</v>
      </c>
      <c r="J44" s="44">
        <f t="shared" si="70"/>
        <v>0</v>
      </c>
      <c r="K44" s="34"/>
      <c r="L44" s="21">
        <f t="shared" si="71"/>
        <v>0</v>
      </c>
      <c r="M44" s="34"/>
      <c r="N44" s="21">
        <f t="shared" si="72"/>
        <v>0</v>
      </c>
      <c r="O44" s="34"/>
      <c r="P44" s="21">
        <f t="shared" si="73"/>
        <v>0</v>
      </c>
      <c r="Q44" s="34"/>
      <c r="R44" s="21">
        <f t="shared" si="74"/>
        <v>0</v>
      </c>
      <c r="S44" s="34"/>
      <c r="T44" s="21">
        <f t="shared" si="75"/>
        <v>0</v>
      </c>
      <c r="U44" s="34"/>
      <c r="V44" s="21">
        <f t="shared" si="76"/>
        <v>0</v>
      </c>
      <c r="W44" s="34"/>
      <c r="X44" s="21">
        <f t="shared" si="77"/>
        <v>0</v>
      </c>
      <c r="Y44" s="34"/>
      <c r="Z44" s="21">
        <f t="shared" si="78"/>
        <v>0</v>
      </c>
      <c r="AA44" s="34"/>
      <c r="AB44" s="21">
        <f t="shared" si="79"/>
        <v>0</v>
      </c>
      <c r="AC44" s="34"/>
      <c r="AD44" s="21">
        <f t="shared" si="80"/>
        <v>0</v>
      </c>
      <c r="AE44" s="34"/>
      <c r="AF44" s="21">
        <f t="shared" si="81"/>
        <v>0</v>
      </c>
      <c r="AG44" s="34"/>
      <c r="AH44" s="21">
        <f t="shared" si="82"/>
        <v>0</v>
      </c>
      <c r="AI44" s="34"/>
    </row>
    <row r="45" spans="1:35" s="18" customFormat="1">
      <c r="A45" s="261" t="s">
        <v>339</v>
      </c>
      <c r="B45" s="262" t="s">
        <v>274</v>
      </c>
      <c r="C45" s="262" t="s">
        <v>69</v>
      </c>
      <c r="D45" s="257" t="s">
        <v>275</v>
      </c>
      <c r="E45" s="259">
        <v>2.04</v>
      </c>
      <c r="F45" s="262" t="s">
        <v>269</v>
      </c>
      <c r="G45" s="259">
        <f t="shared" si="68"/>
        <v>300.98</v>
      </c>
      <c r="H45" s="259">
        <v>428.2</v>
      </c>
      <c r="I45" s="270">
        <f t="shared" si="69"/>
        <v>873.53</v>
      </c>
      <c r="J45" s="46"/>
      <c r="K45" s="40"/>
      <c r="L45" s="41"/>
      <c r="M45" s="40"/>
      <c r="N45" s="41"/>
      <c r="O45" s="40"/>
      <c r="P45" s="41"/>
      <c r="Q45" s="40"/>
      <c r="R45" s="41"/>
      <c r="S45" s="40"/>
      <c r="T45" s="41"/>
      <c r="U45" s="40"/>
      <c r="V45" s="41"/>
      <c r="W45" s="40"/>
      <c r="X45" s="41"/>
      <c r="Y45" s="40"/>
      <c r="Z45" s="41"/>
      <c r="AA45" s="40"/>
      <c r="AB45" s="41"/>
      <c r="AC45" s="40"/>
      <c r="AD45" s="41"/>
      <c r="AE45" s="40"/>
      <c r="AF45" s="41"/>
      <c r="AG45" s="40"/>
      <c r="AH45" s="41"/>
      <c r="AI45" s="40"/>
    </row>
    <row r="46" spans="1:35" s="25" customFormat="1">
      <c r="A46" s="238"/>
      <c r="B46" s="232"/>
      <c r="C46" s="233"/>
      <c r="D46" s="237" t="s">
        <v>346</v>
      </c>
      <c r="E46" s="235"/>
      <c r="F46" s="242"/>
      <c r="G46" s="235"/>
      <c r="H46" s="235"/>
      <c r="I46" s="241"/>
      <c r="J46" s="45"/>
      <c r="K46" s="22"/>
      <c r="L46" s="26"/>
      <c r="M46" s="22"/>
      <c r="N46" s="26"/>
      <c r="O46" s="22"/>
      <c r="P46" s="26"/>
      <c r="Q46" s="22"/>
      <c r="R46" s="26"/>
      <c r="S46" s="22"/>
      <c r="T46" s="26"/>
      <c r="U46" s="22"/>
      <c r="V46" s="26"/>
      <c r="W46" s="22"/>
      <c r="X46" s="26"/>
      <c r="Y46" s="22"/>
      <c r="Z46" s="26"/>
      <c r="AA46" s="22"/>
      <c r="AB46" s="26"/>
      <c r="AC46" s="22"/>
      <c r="AD46" s="26"/>
      <c r="AE46" s="22"/>
      <c r="AF46" s="26"/>
      <c r="AG46" s="22"/>
      <c r="AH46" s="26"/>
      <c r="AI46" s="22"/>
    </row>
    <row r="47" spans="1:35">
      <c r="A47" s="261" t="s">
        <v>340</v>
      </c>
      <c r="B47" s="256" t="s">
        <v>267</v>
      </c>
      <c r="C47" s="262" t="s">
        <v>69</v>
      </c>
      <c r="D47" s="257" t="s">
        <v>268</v>
      </c>
      <c r="E47" s="259">
        <v>48.29</v>
      </c>
      <c r="F47" s="256" t="s">
        <v>258</v>
      </c>
      <c r="G47" s="259">
        <f t="shared" ref="G47:G52" si="83">ROUND(H47*0.7029,2)</f>
        <v>53.01</v>
      </c>
      <c r="H47" s="259">
        <v>75.41</v>
      </c>
      <c r="I47" s="270">
        <f t="shared" si="69"/>
        <v>3641.55</v>
      </c>
      <c r="J47" s="44"/>
      <c r="K47" s="34"/>
      <c r="L47" s="21"/>
      <c r="M47" s="34"/>
      <c r="N47" s="21"/>
      <c r="O47" s="34"/>
      <c r="P47" s="21"/>
      <c r="Q47" s="34"/>
      <c r="R47" s="21"/>
      <c r="S47" s="34"/>
      <c r="T47" s="21"/>
      <c r="U47" s="34"/>
      <c r="V47" s="21"/>
      <c r="W47" s="34"/>
      <c r="X47" s="21"/>
      <c r="Y47" s="34"/>
      <c r="Z47" s="21"/>
      <c r="AA47" s="34"/>
      <c r="AB47" s="21"/>
      <c r="AC47" s="34"/>
      <c r="AD47" s="21"/>
      <c r="AE47" s="34"/>
      <c r="AF47" s="21"/>
      <c r="AG47" s="34"/>
      <c r="AH47" s="21"/>
      <c r="AI47" s="34"/>
    </row>
    <row r="48" spans="1:35">
      <c r="A48" s="261" t="s">
        <v>341</v>
      </c>
      <c r="B48" s="256" t="s">
        <v>260</v>
      </c>
      <c r="C48" s="262" t="s">
        <v>69</v>
      </c>
      <c r="D48" s="271" t="s">
        <v>261</v>
      </c>
      <c r="E48" s="259">
        <v>124</v>
      </c>
      <c r="F48" s="256" t="s">
        <v>262</v>
      </c>
      <c r="G48" s="259">
        <f t="shared" si="83"/>
        <v>7.18</v>
      </c>
      <c r="H48" s="259">
        <v>10.220000000000001</v>
      </c>
      <c r="I48" s="270">
        <f t="shared" si="69"/>
        <v>1267.28</v>
      </c>
      <c r="J48" s="55"/>
      <c r="K48" s="34"/>
      <c r="L48" s="21"/>
      <c r="M48" s="34"/>
      <c r="N48" s="21"/>
      <c r="O48" s="34"/>
      <c r="P48" s="21"/>
      <c r="Q48" s="34"/>
      <c r="R48" s="21"/>
      <c r="S48" s="34"/>
      <c r="T48" s="21"/>
      <c r="U48" s="34"/>
      <c r="V48" s="21"/>
      <c r="W48" s="34"/>
      <c r="X48" s="21"/>
      <c r="Y48" s="34"/>
      <c r="Z48" s="21"/>
      <c r="AA48" s="34"/>
      <c r="AB48" s="21"/>
      <c r="AC48" s="34"/>
      <c r="AD48" s="21"/>
      <c r="AE48" s="34"/>
      <c r="AF48" s="21"/>
      <c r="AG48" s="34"/>
      <c r="AH48" s="21"/>
      <c r="AI48" s="34"/>
    </row>
    <row r="49" spans="1:35">
      <c r="A49" s="261" t="s">
        <v>342</v>
      </c>
      <c r="B49" s="256" t="s">
        <v>263</v>
      </c>
      <c r="C49" s="262" t="s">
        <v>69</v>
      </c>
      <c r="D49" s="269" t="s">
        <v>264</v>
      </c>
      <c r="E49" s="259">
        <v>46.02</v>
      </c>
      <c r="F49" s="256" t="s">
        <v>262</v>
      </c>
      <c r="G49" s="259">
        <f t="shared" si="83"/>
        <v>7.56</v>
      </c>
      <c r="H49" s="259">
        <v>10.75</v>
      </c>
      <c r="I49" s="270">
        <f t="shared" si="69"/>
        <v>494.72</v>
      </c>
      <c r="J49" s="44"/>
      <c r="K49" s="34"/>
      <c r="L49" s="21"/>
      <c r="M49" s="34"/>
      <c r="N49" s="21"/>
      <c r="O49" s="34"/>
      <c r="P49" s="21"/>
      <c r="Q49" s="34"/>
      <c r="R49" s="21"/>
      <c r="S49" s="34"/>
      <c r="T49" s="21"/>
      <c r="U49" s="34"/>
      <c r="V49" s="21"/>
      <c r="W49" s="34"/>
      <c r="X49" s="21"/>
      <c r="Y49" s="34"/>
      <c r="Z49" s="21"/>
      <c r="AA49" s="34"/>
      <c r="AB49" s="21"/>
      <c r="AC49" s="34"/>
      <c r="AD49" s="21"/>
      <c r="AE49" s="34"/>
      <c r="AF49" s="21"/>
      <c r="AG49" s="34"/>
      <c r="AH49" s="21"/>
      <c r="AI49" s="34"/>
    </row>
    <row r="50" spans="1:35">
      <c r="A50" s="261" t="s">
        <v>343</v>
      </c>
      <c r="B50" s="262" t="s">
        <v>274</v>
      </c>
      <c r="C50" s="262" t="s">
        <v>69</v>
      </c>
      <c r="D50" s="257" t="s">
        <v>275</v>
      </c>
      <c r="E50" s="259">
        <v>2.71</v>
      </c>
      <c r="F50" s="262" t="s">
        <v>269</v>
      </c>
      <c r="G50" s="259">
        <f t="shared" si="83"/>
        <v>300.98</v>
      </c>
      <c r="H50" s="259">
        <v>428.2</v>
      </c>
      <c r="I50" s="270">
        <f t="shared" si="69"/>
        <v>1160.42</v>
      </c>
      <c r="J50" s="44"/>
      <c r="K50" s="34"/>
      <c r="L50" s="21"/>
      <c r="M50" s="34"/>
      <c r="N50" s="21"/>
      <c r="O50" s="34"/>
      <c r="P50" s="21"/>
      <c r="Q50" s="34"/>
      <c r="R50" s="21"/>
      <c r="S50" s="34"/>
      <c r="T50" s="21"/>
      <c r="U50" s="34"/>
      <c r="V50" s="21"/>
      <c r="W50" s="34"/>
      <c r="X50" s="21"/>
      <c r="Y50" s="34"/>
      <c r="Z50" s="21"/>
      <c r="AA50" s="34"/>
      <c r="AB50" s="21"/>
      <c r="AC50" s="34"/>
      <c r="AD50" s="21"/>
      <c r="AE50" s="34"/>
      <c r="AF50" s="21"/>
      <c r="AG50" s="34"/>
      <c r="AH50" s="21"/>
      <c r="AI50" s="34"/>
    </row>
    <row r="51" spans="1:35">
      <c r="A51" s="238"/>
      <c r="B51" s="233"/>
      <c r="C51" s="233"/>
      <c r="D51" s="237" t="s">
        <v>347</v>
      </c>
      <c r="E51" s="235"/>
      <c r="F51" s="242"/>
      <c r="G51" s="235"/>
      <c r="H51" s="235"/>
      <c r="I51" s="241"/>
      <c r="J51" s="44" t="e">
        <f>ROUND(#REF!*$I$14,2)</f>
        <v>#REF!</v>
      </c>
      <c r="K51" s="34"/>
      <c r="L51" s="21"/>
      <c r="M51" s="34"/>
      <c r="N51" s="21"/>
      <c r="O51" s="34"/>
      <c r="P51" s="21"/>
      <c r="Q51" s="34"/>
      <c r="R51" s="21"/>
      <c r="S51" s="34"/>
      <c r="T51" s="21"/>
      <c r="U51" s="34"/>
      <c r="V51" s="21"/>
      <c r="W51" s="34"/>
      <c r="X51" s="21"/>
      <c r="Y51" s="34"/>
      <c r="Z51" s="21"/>
      <c r="AA51" s="34"/>
      <c r="AB51" s="21"/>
      <c r="AC51" s="34"/>
      <c r="AD51" s="21"/>
      <c r="AE51" s="34"/>
      <c r="AF51" s="21"/>
      <c r="AG51" s="34"/>
      <c r="AH51" s="21"/>
      <c r="AI51" s="34"/>
    </row>
    <row r="52" spans="1:35" ht="25.5">
      <c r="A52" s="261" t="s">
        <v>344</v>
      </c>
      <c r="B52" s="262" t="s">
        <v>280</v>
      </c>
      <c r="C52" s="262" t="s">
        <v>69</v>
      </c>
      <c r="D52" s="257" t="s">
        <v>281</v>
      </c>
      <c r="E52" s="259">
        <v>34.700000000000003</v>
      </c>
      <c r="F52" s="105" t="s">
        <v>67</v>
      </c>
      <c r="G52" s="259">
        <f t="shared" si="83"/>
        <v>19.79</v>
      </c>
      <c r="H52" s="259">
        <v>28.16</v>
      </c>
      <c r="I52" s="270">
        <f t="shared" si="69"/>
        <v>977.15</v>
      </c>
      <c r="J52" s="44"/>
      <c r="K52" s="34"/>
      <c r="L52" s="21"/>
      <c r="M52" s="34"/>
      <c r="N52" s="21"/>
      <c r="O52" s="34"/>
      <c r="P52" s="21"/>
      <c r="Q52" s="34"/>
      <c r="R52" s="21"/>
      <c r="S52" s="34"/>
      <c r="T52" s="21"/>
      <c r="U52" s="34"/>
      <c r="V52" s="21"/>
      <c r="W52" s="34"/>
      <c r="X52" s="21"/>
      <c r="Y52" s="34"/>
      <c r="Z52" s="21"/>
      <c r="AA52" s="34"/>
      <c r="AB52" s="21"/>
      <c r="AC52" s="34"/>
      <c r="AD52" s="21"/>
      <c r="AE52" s="34"/>
      <c r="AF52" s="21"/>
      <c r="AG52" s="34"/>
      <c r="AH52" s="21"/>
      <c r="AI52" s="34"/>
    </row>
    <row r="53" spans="1:35" ht="25.5">
      <c r="A53" s="261" t="s">
        <v>358</v>
      </c>
      <c r="B53" s="262">
        <v>93195</v>
      </c>
      <c r="C53" s="262" t="s">
        <v>31</v>
      </c>
      <c r="D53" s="257" t="s">
        <v>373</v>
      </c>
      <c r="E53" s="259">
        <v>20.28</v>
      </c>
      <c r="F53" s="105" t="s">
        <v>67</v>
      </c>
      <c r="G53" s="259">
        <v>22.71</v>
      </c>
      <c r="H53" s="259">
        <f>ROUND((G53*$I$7)+G53,2)</f>
        <v>29.46</v>
      </c>
      <c r="I53" s="264">
        <f>ROUND((H53*E53),2)</f>
        <v>597.45000000000005</v>
      </c>
      <c r="J53" s="44"/>
      <c r="K53" s="34"/>
      <c r="L53" s="21"/>
      <c r="M53" s="34"/>
      <c r="N53" s="21"/>
      <c r="O53" s="34"/>
      <c r="P53" s="21"/>
      <c r="Q53" s="34"/>
      <c r="R53" s="21"/>
      <c r="S53" s="34"/>
      <c r="T53" s="21"/>
      <c r="U53" s="34"/>
      <c r="V53" s="21"/>
      <c r="W53" s="34"/>
      <c r="X53" s="21"/>
      <c r="Y53" s="34"/>
      <c r="Z53" s="21"/>
      <c r="AA53" s="34"/>
      <c r="AB53" s="21"/>
      <c r="AC53" s="34"/>
      <c r="AD53" s="21"/>
      <c r="AE53" s="34"/>
      <c r="AF53" s="21"/>
      <c r="AG53" s="34"/>
      <c r="AH53" s="21"/>
      <c r="AI53" s="34"/>
    </row>
    <row r="54" spans="1:35">
      <c r="A54" s="231"/>
      <c r="B54" s="233"/>
      <c r="C54" s="233"/>
      <c r="D54" s="237" t="s">
        <v>349</v>
      </c>
      <c r="E54" s="235"/>
      <c r="F54" s="242"/>
      <c r="G54" s="235"/>
      <c r="H54" s="235"/>
      <c r="I54" s="241"/>
      <c r="J54" s="44"/>
      <c r="K54" s="34"/>
      <c r="L54" s="21"/>
      <c r="M54" s="34"/>
      <c r="N54" s="21"/>
      <c r="O54" s="34"/>
      <c r="P54" s="21"/>
      <c r="Q54" s="34"/>
      <c r="R54" s="21"/>
      <c r="S54" s="34"/>
      <c r="T54" s="21"/>
      <c r="U54" s="34"/>
      <c r="V54" s="21"/>
      <c r="W54" s="34"/>
      <c r="X54" s="21"/>
      <c r="Y54" s="34"/>
      <c r="Z54" s="21"/>
      <c r="AA54" s="34"/>
      <c r="AB54" s="21"/>
      <c r="AC54" s="34"/>
      <c r="AD54" s="21"/>
      <c r="AE54" s="34"/>
      <c r="AF54" s="21"/>
      <c r="AG54" s="34"/>
      <c r="AH54" s="21"/>
      <c r="AI54" s="34"/>
    </row>
    <row r="55" spans="1:35" ht="51">
      <c r="A55" s="261" t="s">
        <v>374</v>
      </c>
      <c r="B55" s="262" t="s">
        <v>359</v>
      </c>
      <c r="C55" s="262" t="s">
        <v>31</v>
      </c>
      <c r="D55" s="257" t="s">
        <v>360</v>
      </c>
      <c r="E55" s="259">
        <v>133.19</v>
      </c>
      <c r="F55" s="105" t="s">
        <v>258</v>
      </c>
      <c r="G55" s="259">
        <v>71.489999999999995</v>
      </c>
      <c r="H55" s="259">
        <f>ROUND((G55*$I$7)+G55,2)</f>
        <v>92.73</v>
      </c>
      <c r="I55" s="264">
        <f>ROUND((H55*E55),2)</f>
        <v>12350.71</v>
      </c>
      <c r="J55" s="44"/>
      <c r="K55" s="34"/>
      <c r="L55" s="21"/>
      <c r="M55" s="34"/>
      <c r="N55" s="21"/>
      <c r="O55" s="34"/>
      <c r="P55" s="21"/>
      <c r="Q55" s="34"/>
      <c r="R55" s="21"/>
      <c r="S55" s="34"/>
      <c r="T55" s="21"/>
      <c r="U55" s="34"/>
      <c r="V55" s="21"/>
      <c r="W55" s="34"/>
      <c r="X55" s="21"/>
      <c r="Y55" s="34"/>
      <c r="Z55" s="21"/>
      <c r="AA55" s="34"/>
      <c r="AB55" s="21"/>
      <c r="AC55" s="34"/>
      <c r="AD55" s="21"/>
      <c r="AE55" s="34"/>
      <c r="AF55" s="21"/>
      <c r="AG55" s="34"/>
      <c r="AH55" s="21"/>
      <c r="AI55" s="34"/>
    </row>
    <row r="56" spans="1:35">
      <c r="A56" s="89">
        <v>4</v>
      </c>
      <c r="B56" s="62"/>
      <c r="C56" s="62"/>
      <c r="D56" s="58" t="s">
        <v>50</v>
      </c>
      <c r="E56" s="215"/>
      <c r="F56" s="62"/>
      <c r="G56" s="60"/>
      <c r="H56" s="60"/>
      <c r="I56" s="85">
        <f>SUBTOTAL(9,I57:I60)</f>
        <v>22182.09</v>
      </c>
      <c r="J56" s="44"/>
      <c r="K56" s="34"/>
      <c r="L56" s="21"/>
      <c r="M56" s="34"/>
      <c r="N56" s="21"/>
      <c r="O56" s="34"/>
      <c r="P56" s="21"/>
      <c r="Q56" s="34"/>
      <c r="R56" s="21"/>
      <c r="S56" s="34"/>
      <c r="T56" s="21"/>
      <c r="U56" s="34"/>
      <c r="V56" s="21"/>
      <c r="W56" s="34"/>
      <c r="X56" s="21"/>
      <c r="Y56" s="34"/>
      <c r="Z56" s="21"/>
      <c r="AA56" s="34"/>
      <c r="AB56" s="21"/>
      <c r="AC56" s="34"/>
      <c r="AD56" s="21"/>
      <c r="AE56" s="34"/>
      <c r="AF56" s="21"/>
      <c r="AG56" s="34"/>
      <c r="AH56" s="21"/>
      <c r="AI56" s="34"/>
    </row>
    <row r="57" spans="1:35" s="18" customFormat="1">
      <c r="A57" s="238"/>
      <c r="B57" s="233"/>
      <c r="C57" s="233"/>
      <c r="D57" s="237" t="s">
        <v>51</v>
      </c>
      <c r="E57" s="235"/>
      <c r="F57" s="242"/>
      <c r="G57" s="235"/>
      <c r="H57" s="235"/>
      <c r="I57" s="241"/>
      <c r="J57" s="44"/>
      <c r="K57" s="42"/>
      <c r="L57" s="21">
        <f t="shared" ref="L57" si="84">ROUND(M57*$I$14,2)</f>
        <v>0</v>
      </c>
      <c r="M57" s="42"/>
      <c r="N57" s="21">
        <f t="shared" ref="N57" si="85">ROUND(O57*$I$14,2)</f>
        <v>0</v>
      </c>
      <c r="O57" s="42"/>
      <c r="P57" s="21">
        <f t="shared" ref="P57" si="86">ROUND(Q57*$I$14,2)</f>
        <v>0</v>
      </c>
      <c r="Q57" s="42"/>
      <c r="R57" s="21">
        <f t="shared" ref="R57" si="87">ROUND(S57*$I$14,2)</f>
        <v>0</v>
      </c>
      <c r="S57" s="42"/>
      <c r="T57" s="21">
        <f t="shared" ref="T57" si="88">ROUND(U57*$I$14,2)</f>
        <v>0</v>
      </c>
      <c r="U57" s="42"/>
      <c r="V57" s="21">
        <f t="shared" ref="V57" si="89">ROUND(W57*$I$14,2)</f>
        <v>0</v>
      </c>
      <c r="W57" s="42"/>
      <c r="X57" s="21">
        <f t="shared" ref="X57" si="90">ROUND(Y57*$I$14,2)</f>
        <v>0</v>
      </c>
      <c r="Y57" s="42"/>
      <c r="Z57" s="21">
        <f t="shared" ref="Z57" si="91">ROUND(AA57*$I$14,2)</f>
        <v>0</v>
      </c>
      <c r="AA57" s="42"/>
      <c r="AB57" s="21">
        <f t="shared" ref="AB57" si="92">ROUND(AC57*$I$14,2)</f>
        <v>0</v>
      </c>
      <c r="AC57" s="42"/>
      <c r="AD57" s="21">
        <f t="shared" ref="AD57" si="93">ROUND(AE57*$I$14,2)</f>
        <v>0</v>
      </c>
      <c r="AE57" s="42"/>
      <c r="AF57" s="21">
        <f t="shared" ref="AF57" si="94">ROUND(AG57*$I$14,2)</f>
        <v>0</v>
      </c>
      <c r="AG57" s="42"/>
      <c r="AH57" s="21">
        <f t="shared" ref="AH57" si="95">ROUND(AI57*$I$14,2)</f>
        <v>0</v>
      </c>
      <c r="AI57" s="42"/>
    </row>
    <row r="58" spans="1:35" ht="25.5">
      <c r="A58" s="261" t="s">
        <v>122</v>
      </c>
      <c r="B58" s="262" t="s">
        <v>377</v>
      </c>
      <c r="C58" s="262" t="s">
        <v>69</v>
      </c>
      <c r="D58" s="269" t="s">
        <v>378</v>
      </c>
      <c r="E58" s="259">
        <v>147.66</v>
      </c>
      <c r="F58" s="105" t="s">
        <v>258</v>
      </c>
      <c r="G58" s="259">
        <f t="shared" ref="G58:G60" si="96">ROUND(H58*0.7029,2)</f>
        <v>47.12</v>
      </c>
      <c r="H58" s="259">
        <v>67.040000000000006</v>
      </c>
      <c r="I58" s="270">
        <f t="shared" ref="I58:I60" si="97">ROUND((H58*E58),2)</f>
        <v>9899.1299999999992</v>
      </c>
      <c r="J58" s="44">
        <f t="shared" ref="J58" si="98">ROUND(K57*$I$14,2)</f>
        <v>0</v>
      </c>
      <c r="K58" s="34"/>
      <c r="L58" s="21"/>
      <c r="M58" s="34"/>
      <c r="N58" s="21"/>
      <c r="O58" s="34"/>
      <c r="P58" s="21"/>
      <c r="Q58" s="34"/>
      <c r="R58" s="21"/>
      <c r="S58" s="34"/>
      <c r="T58" s="21"/>
      <c r="U58" s="34"/>
      <c r="V58" s="21"/>
      <c r="W58" s="34"/>
      <c r="X58" s="21"/>
      <c r="Y58" s="34"/>
      <c r="Z58" s="21"/>
      <c r="AA58" s="34"/>
      <c r="AB58" s="21"/>
      <c r="AC58" s="34"/>
      <c r="AD58" s="21"/>
      <c r="AE58" s="34"/>
      <c r="AF58" s="21"/>
      <c r="AG58" s="34"/>
      <c r="AH58" s="21"/>
      <c r="AI58" s="34"/>
    </row>
    <row r="59" spans="1:35" ht="25.5">
      <c r="A59" s="261" t="s">
        <v>33</v>
      </c>
      <c r="B59" s="262" t="s">
        <v>379</v>
      </c>
      <c r="C59" s="262" t="s">
        <v>69</v>
      </c>
      <c r="D59" s="269" t="s">
        <v>380</v>
      </c>
      <c r="E59" s="259">
        <v>27.27</v>
      </c>
      <c r="F59" s="105" t="s">
        <v>258</v>
      </c>
      <c r="G59" s="259">
        <f t="shared" si="96"/>
        <v>55.61</v>
      </c>
      <c r="H59" s="259">
        <v>79.12</v>
      </c>
      <c r="I59" s="270">
        <f t="shared" si="97"/>
        <v>2157.6</v>
      </c>
      <c r="J59" s="44"/>
      <c r="K59" s="34"/>
      <c r="L59" s="21"/>
      <c r="M59" s="34"/>
      <c r="N59" s="21"/>
      <c r="O59" s="34"/>
      <c r="P59" s="21"/>
      <c r="Q59" s="34"/>
      <c r="R59" s="21"/>
      <c r="S59" s="34"/>
      <c r="T59" s="21"/>
      <c r="U59" s="34"/>
      <c r="V59" s="21"/>
      <c r="W59" s="34"/>
      <c r="X59" s="21"/>
      <c r="Y59" s="34"/>
      <c r="Z59" s="21"/>
      <c r="AA59" s="34"/>
      <c r="AB59" s="21"/>
      <c r="AC59" s="34"/>
      <c r="AD59" s="21"/>
      <c r="AE59" s="34"/>
      <c r="AF59" s="21"/>
      <c r="AG59" s="34"/>
      <c r="AH59" s="21"/>
      <c r="AI59" s="34"/>
    </row>
    <row r="60" spans="1:35">
      <c r="A60" s="261" t="s">
        <v>34</v>
      </c>
      <c r="B60" s="262" t="s">
        <v>612</v>
      </c>
      <c r="C60" s="262" t="s">
        <v>69</v>
      </c>
      <c r="D60" s="257" t="s">
        <v>613</v>
      </c>
      <c r="E60" s="259">
        <v>21</v>
      </c>
      <c r="F60" s="105" t="s">
        <v>258</v>
      </c>
      <c r="G60" s="259">
        <f t="shared" si="96"/>
        <v>338.91</v>
      </c>
      <c r="H60" s="259">
        <v>482.16</v>
      </c>
      <c r="I60" s="270">
        <f t="shared" si="97"/>
        <v>10125.36</v>
      </c>
      <c r="J60" s="44"/>
      <c r="K60" s="34"/>
      <c r="L60" s="21"/>
      <c r="M60" s="34"/>
      <c r="N60" s="21"/>
      <c r="O60" s="34"/>
      <c r="P60" s="21"/>
      <c r="Q60" s="34"/>
      <c r="R60" s="21"/>
      <c r="S60" s="34"/>
      <c r="T60" s="21"/>
      <c r="U60" s="34"/>
      <c r="V60" s="21"/>
      <c r="W60" s="34"/>
      <c r="X60" s="21"/>
      <c r="Y60" s="34"/>
      <c r="Z60" s="21"/>
      <c r="AA60" s="34"/>
      <c r="AB60" s="21"/>
      <c r="AC60" s="34"/>
      <c r="AD60" s="21"/>
      <c r="AE60" s="34"/>
      <c r="AF60" s="21"/>
      <c r="AG60" s="34"/>
      <c r="AH60" s="21"/>
      <c r="AI60" s="34"/>
    </row>
    <row r="61" spans="1:35">
      <c r="A61" s="89">
        <v>5</v>
      </c>
      <c r="B61" s="62"/>
      <c r="C61" s="62"/>
      <c r="D61" s="58" t="s">
        <v>52</v>
      </c>
      <c r="E61" s="215"/>
      <c r="F61" s="62"/>
      <c r="G61" s="60"/>
      <c r="H61" s="60"/>
      <c r="I61" s="85">
        <f>SUBTOTAL(9,I63:I67)</f>
        <v>21186.400000000001</v>
      </c>
      <c r="J61" s="44"/>
      <c r="K61" s="34"/>
      <c r="L61" s="21"/>
      <c r="M61" s="34"/>
      <c r="N61" s="21"/>
      <c r="O61" s="34"/>
      <c r="P61" s="21"/>
      <c r="Q61" s="34"/>
      <c r="R61" s="21"/>
      <c r="S61" s="34"/>
      <c r="T61" s="21"/>
      <c r="U61" s="34"/>
      <c r="V61" s="21"/>
      <c r="W61" s="34"/>
      <c r="X61" s="21"/>
      <c r="Y61" s="34"/>
      <c r="Z61" s="21"/>
      <c r="AA61" s="34"/>
      <c r="AB61" s="21"/>
      <c r="AC61" s="34"/>
      <c r="AD61" s="21"/>
      <c r="AE61" s="34"/>
      <c r="AF61" s="21"/>
      <c r="AG61" s="34"/>
      <c r="AH61" s="21"/>
      <c r="AI61" s="34"/>
    </row>
    <row r="62" spans="1:35">
      <c r="A62" s="238"/>
      <c r="B62" s="233"/>
      <c r="C62" s="233"/>
      <c r="D62" s="237" t="s">
        <v>627</v>
      </c>
      <c r="E62" s="235"/>
      <c r="F62" s="242"/>
      <c r="G62" s="235"/>
      <c r="H62" s="235"/>
      <c r="I62" s="241"/>
      <c r="J62" s="44"/>
      <c r="K62" s="34"/>
      <c r="L62" s="21"/>
      <c r="M62" s="34"/>
      <c r="N62" s="21"/>
      <c r="O62" s="34"/>
      <c r="P62" s="21"/>
      <c r="Q62" s="34"/>
      <c r="R62" s="21"/>
      <c r="S62" s="34"/>
      <c r="T62" s="21"/>
      <c r="U62" s="34"/>
      <c r="V62" s="21"/>
      <c r="W62" s="34"/>
      <c r="X62" s="21"/>
      <c r="Y62" s="34"/>
      <c r="Z62" s="21"/>
      <c r="AA62" s="34"/>
      <c r="AB62" s="21"/>
      <c r="AC62" s="34"/>
      <c r="AD62" s="21"/>
      <c r="AE62" s="34"/>
      <c r="AF62" s="21"/>
      <c r="AG62" s="34"/>
      <c r="AH62" s="21"/>
      <c r="AI62" s="34"/>
    </row>
    <row r="63" spans="1:35" ht="25.5">
      <c r="A63" s="261" t="s">
        <v>35</v>
      </c>
      <c r="B63" s="262" t="s">
        <v>457</v>
      </c>
      <c r="C63" s="262" t="s">
        <v>69</v>
      </c>
      <c r="D63" s="257" t="s">
        <v>456</v>
      </c>
      <c r="E63" s="259">
        <v>4</v>
      </c>
      <c r="F63" s="105" t="s">
        <v>282</v>
      </c>
      <c r="G63" s="259">
        <f t="shared" ref="G63:G67" si="99">ROUND(H63*0.7029,2)</f>
        <v>564.44000000000005</v>
      </c>
      <c r="H63" s="259">
        <v>803.02</v>
      </c>
      <c r="I63" s="270">
        <f t="shared" ref="I63:I64" si="100">ROUND((H63*E63),2)</f>
        <v>3212.08</v>
      </c>
      <c r="J63" s="44"/>
      <c r="K63" s="34"/>
      <c r="L63" s="21"/>
      <c r="M63" s="34"/>
      <c r="N63" s="21"/>
      <c r="O63" s="34"/>
      <c r="P63" s="21"/>
      <c r="Q63" s="34"/>
      <c r="R63" s="21"/>
      <c r="S63" s="34"/>
      <c r="T63" s="21"/>
      <c r="U63" s="34"/>
      <c r="V63" s="21"/>
      <c r="W63" s="34"/>
      <c r="X63" s="21"/>
      <c r="Y63" s="34"/>
      <c r="Z63" s="21"/>
      <c r="AA63" s="34"/>
      <c r="AB63" s="21"/>
      <c r="AC63" s="34"/>
      <c r="AD63" s="21"/>
      <c r="AE63" s="34"/>
      <c r="AF63" s="21"/>
      <c r="AG63" s="34"/>
      <c r="AH63" s="21"/>
      <c r="AI63" s="34"/>
    </row>
    <row r="64" spans="1:35" ht="12.75" customHeight="1">
      <c r="A64" s="261" t="s">
        <v>36</v>
      </c>
      <c r="B64" s="256" t="s">
        <v>458</v>
      </c>
      <c r="C64" s="262" t="s">
        <v>69</v>
      </c>
      <c r="D64" s="257" t="s">
        <v>459</v>
      </c>
      <c r="E64" s="259">
        <v>1</v>
      </c>
      <c r="F64" s="105" t="s">
        <v>282</v>
      </c>
      <c r="G64" s="259">
        <f t="shared" si="99"/>
        <v>2572.33</v>
      </c>
      <c r="H64" s="259">
        <v>3659.6</v>
      </c>
      <c r="I64" s="270">
        <f t="shared" si="100"/>
        <v>3659.6</v>
      </c>
      <c r="J64" s="44"/>
      <c r="K64" s="34"/>
      <c r="L64" s="21"/>
      <c r="M64" s="34"/>
      <c r="N64" s="21"/>
      <c r="O64" s="34"/>
      <c r="P64" s="21"/>
      <c r="Q64" s="34"/>
      <c r="R64" s="21"/>
      <c r="S64" s="34"/>
      <c r="T64" s="21"/>
      <c r="U64" s="34"/>
      <c r="V64" s="21"/>
      <c r="W64" s="34"/>
      <c r="X64" s="21"/>
      <c r="Y64" s="34"/>
      <c r="Z64" s="21"/>
      <c r="AA64" s="34"/>
      <c r="AB64" s="21"/>
      <c r="AC64" s="34"/>
      <c r="AD64" s="21"/>
      <c r="AE64" s="34"/>
      <c r="AF64" s="21"/>
      <c r="AG64" s="34"/>
      <c r="AH64" s="21"/>
      <c r="AI64" s="34"/>
    </row>
    <row r="65" spans="1:35">
      <c r="A65" s="238"/>
      <c r="B65" s="239"/>
      <c r="C65" s="239"/>
      <c r="D65" s="243" t="s">
        <v>330</v>
      </c>
      <c r="E65" s="244"/>
      <c r="F65" s="239"/>
      <c r="G65" s="245"/>
      <c r="H65" s="245"/>
      <c r="I65" s="246"/>
      <c r="J65" s="44"/>
      <c r="K65" s="34"/>
      <c r="L65" s="21"/>
      <c r="M65" s="34"/>
      <c r="N65" s="21"/>
      <c r="O65" s="34"/>
      <c r="P65" s="21"/>
      <c r="Q65" s="34"/>
      <c r="R65" s="21"/>
      <c r="S65" s="34"/>
      <c r="T65" s="21"/>
      <c r="U65" s="34"/>
      <c r="V65" s="21"/>
      <c r="W65" s="34"/>
      <c r="X65" s="21"/>
      <c r="Y65" s="34"/>
      <c r="Z65" s="21"/>
      <c r="AA65" s="34"/>
      <c r="AB65" s="21"/>
      <c r="AC65" s="34"/>
      <c r="AD65" s="21"/>
      <c r="AE65" s="34"/>
      <c r="AF65" s="21"/>
      <c r="AG65" s="34"/>
      <c r="AH65" s="21"/>
      <c r="AI65" s="34"/>
    </row>
    <row r="66" spans="1:35">
      <c r="A66" s="261" t="s">
        <v>118</v>
      </c>
      <c r="B66" s="256" t="s">
        <v>283</v>
      </c>
      <c r="C66" s="272" t="s">
        <v>69</v>
      </c>
      <c r="D66" s="273" t="s">
        <v>284</v>
      </c>
      <c r="E66" s="259">
        <v>16</v>
      </c>
      <c r="F66" s="274" t="s">
        <v>258</v>
      </c>
      <c r="G66" s="259">
        <f t="shared" si="99"/>
        <v>556.17999999999995</v>
      </c>
      <c r="H66" s="259">
        <v>791.27</v>
      </c>
      <c r="I66" s="270">
        <f>ROUND((H66*E66),2)</f>
        <v>12660.32</v>
      </c>
      <c r="J66" s="44"/>
      <c r="K66" s="34"/>
      <c r="L66" s="21"/>
      <c r="M66" s="34"/>
      <c r="N66" s="21"/>
      <c r="O66" s="34"/>
      <c r="P66" s="21"/>
      <c r="Q66" s="34"/>
      <c r="R66" s="21"/>
      <c r="S66" s="34"/>
      <c r="T66" s="21"/>
      <c r="U66" s="34"/>
      <c r="V66" s="21"/>
      <c r="W66" s="34"/>
      <c r="X66" s="21"/>
      <c r="Y66" s="34"/>
      <c r="Z66" s="21"/>
      <c r="AA66" s="34"/>
      <c r="AB66" s="21"/>
      <c r="AC66" s="34"/>
      <c r="AD66" s="21"/>
      <c r="AE66" s="34"/>
      <c r="AF66" s="21"/>
      <c r="AG66" s="34"/>
      <c r="AH66" s="21"/>
      <c r="AI66" s="34"/>
    </row>
    <row r="67" spans="1:35" ht="12.75" customHeight="1">
      <c r="A67" s="261" t="s">
        <v>429</v>
      </c>
      <c r="B67" s="256" t="s">
        <v>285</v>
      </c>
      <c r="C67" s="272" t="s">
        <v>69</v>
      </c>
      <c r="D67" s="273" t="s">
        <v>286</v>
      </c>
      <c r="E67" s="259">
        <v>16</v>
      </c>
      <c r="F67" s="274" t="s">
        <v>258</v>
      </c>
      <c r="G67" s="259">
        <f t="shared" si="99"/>
        <v>72.680000000000007</v>
      </c>
      <c r="H67" s="259">
        <v>103.4</v>
      </c>
      <c r="I67" s="270">
        <f>ROUND((H67*E67),2)</f>
        <v>1654.4</v>
      </c>
      <c r="J67" s="44"/>
      <c r="K67" s="34"/>
      <c r="L67" s="21"/>
      <c r="M67" s="34"/>
      <c r="N67" s="21"/>
      <c r="O67" s="34"/>
      <c r="P67" s="21"/>
      <c r="Q67" s="34"/>
      <c r="R67" s="21"/>
      <c r="S67" s="34"/>
      <c r="T67" s="21"/>
      <c r="U67" s="34"/>
      <c r="V67" s="21"/>
      <c r="W67" s="34"/>
      <c r="X67" s="21"/>
      <c r="Y67" s="34"/>
      <c r="Z67" s="21"/>
      <c r="AA67" s="34"/>
      <c r="AB67" s="21"/>
      <c r="AC67" s="34"/>
      <c r="AD67" s="21"/>
      <c r="AE67" s="34"/>
      <c r="AF67" s="21"/>
      <c r="AG67" s="34"/>
      <c r="AH67" s="21"/>
      <c r="AI67" s="34"/>
    </row>
    <row r="68" spans="1:35">
      <c r="A68" s="89">
        <v>6</v>
      </c>
      <c r="B68" s="62"/>
      <c r="C68" s="62"/>
      <c r="D68" s="58" t="s">
        <v>54</v>
      </c>
      <c r="E68" s="215"/>
      <c r="F68" s="62"/>
      <c r="G68" s="60"/>
      <c r="H68" s="60"/>
      <c r="I68" s="85">
        <f>SUBTOTAL(9,I69:I71)</f>
        <v>15421.94</v>
      </c>
    </row>
    <row r="69" spans="1:35" ht="38.25">
      <c r="A69" s="261" t="s">
        <v>38</v>
      </c>
      <c r="B69" s="256" t="s">
        <v>618</v>
      </c>
      <c r="C69" s="272" t="s">
        <v>69</v>
      </c>
      <c r="D69" s="257" t="s">
        <v>619</v>
      </c>
      <c r="E69" s="259">
        <v>156.81</v>
      </c>
      <c r="F69" s="272" t="s">
        <v>258</v>
      </c>
      <c r="G69" s="259">
        <f t="shared" ref="G69" si="101">ROUND(H69*0.7029,2)</f>
        <v>32.229999999999997</v>
      </c>
      <c r="H69" s="259">
        <v>45.85</v>
      </c>
      <c r="I69" s="264">
        <f t="shared" ref="I69" si="102">ROUND((H69*E69),2)</f>
        <v>7189.74</v>
      </c>
    </row>
    <row r="70" spans="1:35">
      <c r="A70" s="261" t="s">
        <v>53</v>
      </c>
      <c r="B70" s="256" t="s">
        <v>563</v>
      </c>
      <c r="C70" s="272" t="s">
        <v>69</v>
      </c>
      <c r="D70" s="263" t="s">
        <v>564</v>
      </c>
      <c r="E70" s="259">
        <v>156.81</v>
      </c>
      <c r="F70" s="272" t="s">
        <v>258</v>
      </c>
      <c r="G70" s="259">
        <f t="shared" ref="G70:G78" si="103">ROUND(H70*0.7029,2)</f>
        <v>34.67</v>
      </c>
      <c r="H70" s="259">
        <v>49.32</v>
      </c>
      <c r="I70" s="270">
        <f t="shared" ref="I70:I71" si="104">ROUND((H70*E70),2)</f>
        <v>7733.87</v>
      </c>
    </row>
    <row r="71" spans="1:35" ht="25.5">
      <c r="A71" s="261" t="s">
        <v>59</v>
      </c>
      <c r="B71" s="256" t="s">
        <v>561</v>
      </c>
      <c r="C71" s="272" t="s">
        <v>69</v>
      </c>
      <c r="D71" s="257" t="s">
        <v>562</v>
      </c>
      <c r="E71" s="259">
        <v>11.53</v>
      </c>
      <c r="F71" s="272" t="s">
        <v>67</v>
      </c>
      <c r="G71" s="259">
        <f t="shared" si="103"/>
        <v>30.38</v>
      </c>
      <c r="H71" s="259">
        <v>43.22</v>
      </c>
      <c r="I71" s="270">
        <f t="shared" si="104"/>
        <v>498.33</v>
      </c>
    </row>
    <row r="72" spans="1:35">
      <c r="A72" s="89">
        <v>7</v>
      </c>
      <c r="B72" s="62"/>
      <c r="C72" s="62"/>
      <c r="D72" s="218" t="s">
        <v>583</v>
      </c>
      <c r="E72" s="215"/>
      <c r="F72" s="62"/>
      <c r="G72" s="60"/>
      <c r="H72" s="60"/>
      <c r="I72" s="85">
        <f>SUBTOTAL(9,I73:I79)</f>
        <v>40106.42</v>
      </c>
    </row>
    <row r="73" spans="1:35">
      <c r="A73" s="261" t="s">
        <v>41</v>
      </c>
      <c r="B73" s="256" t="s">
        <v>287</v>
      </c>
      <c r="C73" s="272" t="s">
        <v>69</v>
      </c>
      <c r="D73" s="275" t="s">
        <v>288</v>
      </c>
      <c r="E73" s="259">
        <v>309.13</v>
      </c>
      <c r="F73" s="272" t="s">
        <v>258</v>
      </c>
      <c r="G73" s="259">
        <f t="shared" si="103"/>
        <v>4.74</v>
      </c>
      <c r="H73" s="259">
        <v>6.75</v>
      </c>
      <c r="I73" s="270">
        <f t="shared" ref="I73:I78" si="105">ROUND((H73*E73),2)</f>
        <v>2086.63</v>
      </c>
    </row>
    <row r="74" spans="1:35">
      <c r="A74" s="261" t="s">
        <v>42</v>
      </c>
      <c r="B74" s="256" t="s">
        <v>289</v>
      </c>
      <c r="C74" s="272" t="s">
        <v>69</v>
      </c>
      <c r="D74" s="273" t="s">
        <v>290</v>
      </c>
      <c r="E74" s="259">
        <v>309.13</v>
      </c>
      <c r="F74" s="272" t="s">
        <v>258</v>
      </c>
      <c r="G74" s="259">
        <f t="shared" si="103"/>
        <v>24.68</v>
      </c>
      <c r="H74" s="259">
        <v>35.11</v>
      </c>
      <c r="I74" s="270">
        <f t="shared" si="105"/>
        <v>10853.55</v>
      </c>
    </row>
    <row r="75" spans="1:35" ht="12.75" customHeight="1">
      <c r="A75" s="261" t="s">
        <v>43</v>
      </c>
      <c r="B75" s="272" t="s">
        <v>291</v>
      </c>
      <c r="C75" s="272" t="s">
        <v>69</v>
      </c>
      <c r="D75" s="273" t="s">
        <v>292</v>
      </c>
      <c r="E75" s="259">
        <v>245.75</v>
      </c>
      <c r="F75" s="272" t="s">
        <v>258</v>
      </c>
      <c r="G75" s="259">
        <f t="shared" si="103"/>
        <v>18.84</v>
      </c>
      <c r="H75" s="259">
        <v>26.81</v>
      </c>
      <c r="I75" s="270">
        <f t="shared" si="105"/>
        <v>6588.56</v>
      </c>
    </row>
    <row r="76" spans="1:35">
      <c r="A76" s="261" t="s">
        <v>65</v>
      </c>
      <c r="B76" s="256" t="s">
        <v>363</v>
      </c>
      <c r="C76" s="256" t="s">
        <v>69</v>
      </c>
      <c r="D76" s="273" t="s">
        <v>364</v>
      </c>
      <c r="E76" s="259">
        <v>95.32</v>
      </c>
      <c r="F76" s="105" t="s">
        <v>258</v>
      </c>
      <c r="G76" s="259">
        <f t="shared" si="103"/>
        <v>85.96</v>
      </c>
      <c r="H76" s="259">
        <v>122.29</v>
      </c>
      <c r="I76" s="270">
        <f t="shared" si="105"/>
        <v>11656.68</v>
      </c>
      <c r="J76" s="44"/>
      <c r="K76" s="34"/>
      <c r="L76" s="21"/>
      <c r="M76" s="34"/>
      <c r="N76" s="21"/>
      <c r="O76" s="34"/>
      <c r="P76" s="21"/>
      <c r="Q76" s="34"/>
      <c r="R76" s="21"/>
      <c r="S76" s="34"/>
      <c r="T76" s="21"/>
      <c r="U76" s="34"/>
      <c r="V76" s="21"/>
      <c r="W76" s="34"/>
      <c r="X76" s="21"/>
      <c r="Y76" s="34"/>
      <c r="Z76" s="21"/>
      <c r="AA76" s="34"/>
      <c r="AB76" s="21"/>
      <c r="AC76" s="34"/>
      <c r="AD76" s="21"/>
      <c r="AE76" s="34"/>
      <c r="AF76" s="21"/>
      <c r="AG76" s="34"/>
      <c r="AH76" s="21"/>
      <c r="AI76" s="34"/>
    </row>
    <row r="77" spans="1:35">
      <c r="A77" s="261" t="s">
        <v>60</v>
      </c>
      <c r="B77" s="256" t="s">
        <v>375</v>
      </c>
      <c r="C77" s="256" t="s">
        <v>69</v>
      </c>
      <c r="D77" s="257" t="s">
        <v>376</v>
      </c>
      <c r="E77" s="259">
        <v>73.459999999999994</v>
      </c>
      <c r="F77" s="105" t="s">
        <v>67</v>
      </c>
      <c r="G77" s="259">
        <f t="shared" si="103"/>
        <v>30.5</v>
      </c>
      <c r="H77" s="259">
        <v>43.39</v>
      </c>
      <c r="I77" s="270">
        <f t="shared" si="105"/>
        <v>3187.43</v>
      </c>
    </row>
    <row r="78" spans="1:35" ht="38.25">
      <c r="A78" s="261" t="s">
        <v>61</v>
      </c>
      <c r="B78" s="256" t="s">
        <v>460</v>
      </c>
      <c r="C78" s="256" t="s">
        <v>69</v>
      </c>
      <c r="D78" s="273" t="s">
        <v>461</v>
      </c>
      <c r="E78" s="259">
        <v>24.49</v>
      </c>
      <c r="F78" s="105" t="s">
        <v>258</v>
      </c>
      <c r="G78" s="259">
        <f t="shared" si="103"/>
        <v>47.99</v>
      </c>
      <c r="H78" s="259">
        <v>68.28</v>
      </c>
      <c r="I78" s="270">
        <f t="shared" si="105"/>
        <v>1672.18</v>
      </c>
    </row>
    <row r="79" spans="1:35">
      <c r="A79" s="261" t="s">
        <v>62</v>
      </c>
      <c r="B79" s="256" t="s">
        <v>293</v>
      </c>
      <c r="C79" s="256" t="s">
        <v>69</v>
      </c>
      <c r="D79" s="263" t="s">
        <v>294</v>
      </c>
      <c r="E79" s="259">
        <v>63.38</v>
      </c>
      <c r="F79" s="105" t="s">
        <v>258</v>
      </c>
      <c r="G79" s="259">
        <f>ROUND(H79*0.7029,2)</f>
        <v>45.04</v>
      </c>
      <c r="H79" s="259">
        <v>64.08</v>
      </c>
      <c r="I79" s="270">
        <f>ROUND((H79*E79),2)</f>
        <v>4061.39</v>
      </c>
      <c r="J79" s="44"/>
      <c r="K79" s="34"/>
      <c r="L79" s="21"/>
      <c r="M79" s="34"/>
      <c r="N79" s="21"/>
      <c r="O79" s="34"/>
      <c r="P79" s="21"/>
      <c r="Q79" s="34"/>
      <c r="R79" s="21"/>
      <c r="S79" s="34"/>
      <c r="T79" s="21"/>
      <c r="U79" s="34"/>
      <c r="V79" s="21"/>
      <c r="W79" s="34"/>
      <c r="X79" s="21"/>
      <c r="Y79" s="34"/>
      <c r="Z79" s="21"/>
      <c r="AA79" s="34"/>
      <c r="AB79" s="21"/>
      <c r="AC79" s="34"/>
      <c r="AD79" s="21"/>
      <c r="AE79" s="34"/>
      <c r="AF79" s="21"/>
      <c r="AG79" s="34"/>
      <c r="AH79" s="21"/>
      <c r="AI79" s="34"/>
    </row>
    <row r="80" spans="1:35">
      <c r="A80" s="206">
        <v>8</v>
      </c>
      <c r="B80" s="207"/>
      <c r="C80" s="207"/>
      <c r="D80" s="208" t="s">
        <v>465</v>
      </c>
      <c r="E80" s="205"/>
      <c r="F80" s="202"/>
      <c r="G80" s="205"/>
      <c r="H80" s="205"/>
      <c r="I80" s="85">
        <f>SUBTOTAL(9,I81)</f>
        <v>893.62</v>
      </c>
      <c r="J80" s="203"/>
      <c r="K80" s="204"/>
      <c r="L80" s="203"/>
      <c r="M80" s="204"/>
      <c r="N80" s="203"/>
      <c r="O80" s="204"/>
      <c r="P80" s="203"/>
      <c r="Q80" s="204"/>
      <c r="R80" s="203"/>
      <c r="S80" s="204"/>
      <c r="T80" s="203"/>
      <c r="U80" s="204"/>
      <c r="V80" s="203"/>
      <c r="W80" s="204"/>
      <c r="X80" s="203"/>
      <c r="Y80" s="204"/>
      <c r="Z80" s="203"/>
      <c r="AA80" s="204"/>
      <c r="AB80" s="203"/>
      <c r="AC80" s="204"/>
      <c r="AD80" s="203"/>
      <c r="AE80" s="204"/>
      <c r="AF80" s="203"/>
      <c r="AG80" s="204"/>
      <c r="AH80" s="203"/>
      <c r="AI80" s="204"/>
    </row>
    <row r="81" spans="1:35">
      <c r="A81" s="261" t="s">
        <v>44</v>
      </c>
      <c r="B81" s="256" t="s">
        <v>466</v>
      </c>
      <c r="C81" s="256" t="s">
        <v>69</v>
      </c>
      <c r="D81" s="263" t="s">
        <v>467</v>
      </c>
      <c r="E81" s="259">
        <v>4.8</v>
      </c>
      <c r="F81" s="105" t="s">
        <v>67</v>
      </c>
      <c r="G81" s="259">
        <f t="shared" ref="G81" si="106">ROUND(H81*0.7029,2)</f>
        <v>130.86000000000001</v>
      </c>
      <c r="H81" s="259">
        <v>186.17</v>
      </c>
      <c r="I81" s="264">
        <f t="shared" ref="I81" si="107">ROUND((H81*E81),2)</f>
        <v>893.62</v>
      </c>
      <c r="J81" s="203"/>
      <c r="K81" s="204"/>
      <c r="L81" s="203"/>
      <c r="M81" s="204"/>
      <c r="N81" s="203"/>
      <c r="O81" s="204"/>
      <c r="P81" s="203"/>
      <c r="Q81" s="204"/>
      <c r="R81" s="203"/>
      <c r="S81" s="204"/>
      <c r="T81" s="203"/>
      <c r="U81" s="204"/>
      <c r="V81" s="203"/>
      <c r="W81" s="204"/>
      <c r="X81" s="203"/>
      <c r="Y81" s="204"/>
      <c r="Z81" s="203"/>
      <c r="AA81" s="204"/>
      <c r="AB81" s="203"/>
      <c r="AC81" s="204"/>
      <c r="AD81" s="203"/>
      <c r="AE81" s="204"/>
      <c r="AF81" s="203"/>
      <c r="AG81" s="204"/>
      <c r="AH81" s="203"/>
      <c r="AI81" s="204"/>
    </row>
    <row r="82" spans="1:35" ht="12.75" customHeight="1">
      <c r="A82" s="89">
        <v>9</v>
      </c>
      <c r="B82" s="62"/>
      <c r="C82" s="62"/>
      <c r="D82" s="58" t="s">
        <v>297</v>
      </c>
      <c r="E82" s="215"/>
      <c r="F82" s="62"/>
      <c r="G82" s="60"/>
      <c r="H82" s="60"/>
      <c r="I82" s="85">
        <f>SUBTOTAL(9,I83:I85)</f>
        <v>4605.74</v>
      </c>
    </row>
    <row r="83" spans="1:35" ht="27.75" customHeight="1">
      <c r="A83" s="261" t="s">
        <v>55</v>
      </c>
      <c r="B83" s="256" t="s">
        <v>272</v>
      </c>
      <c r="C83" s="256" t="s">
        <v>69</v>
      </c>
      <c r="D83" s="257" t="s">
        <v>273</v>
      </c>
      <c r="E83" s="259">
        <v>119.81</v>
      </c>
      <c r="F83" s="105" t="s">
        <v>258</v>
      </c>
      <c r="G83" s="259">
        <f>ROUND(H83*0.7029,2)</f>
        <v>5.74</v>
      </c>
      <c r="H83" s="259">
        <v>8.17</v>
      </c>
      <c r="I83" s="270">
        <f>ROUND((H83*E83),2)</f>
        <v>978.85</v>
      </c>
    </row>
    <row r="84" spans="1:35">
      <c r="A84" s="261" t="s">
        <v>56</v>
      </c>
      <c r="B84" s="256" t="s">
        <v>295</v>
      </c>
      <c r="C84" s="256" t="s">
        <v>69</v>
      </c>
      <c r="D84" s="263" t="s">
        <v>296</v>
      </c>
      <c r="E84" s="259">
        <v>3.81</v>
      </c>
      <c r="F84" s="105" t="s">
        <v>269</v>
      </c>
      <c r="G84" s="259">
        <f>ROUND(H84*0.7029,2)</f>
        <v>500.68</v>
      </c>
      <c r="H84" s="259">
        <v>712.31</v>
      </c>
      <c r="I84" s="270">
        <f>ROUND((H84*E84),2)</f>
        <v>2713.9</v>
      </c>
    </row>
    <row r="85" spans="1:35">
      <c r="A85" s="261" t="s">
        <v>57</v>
      </c>
      <c r="B85" s="256" t="s">
        <v>365</v>
      </c>
      <c r="C85" s="256" t="s">
        <v>69</v>
      </c>
      <c r="D85" s="263" t="s">
        <v>366</v>
      </c>
      <c r="E85" s="259">
        <v>24.49</v>
      </c>
      <c r="F85" s="105" t="s">
        <v>258</v>
      </c>
      <c r="G85" s="259">
        <f>ROUND(H85*0.7029,2)</f>
        <v>26.2</v>
      </c>
      <c r="H85" s="259">
        <v>37.28</v>
      </c>
      <c r="I85" s="270">
        <f>ROUND((H85*E85),2)</f>
        <v>912.99</v>
      </c>
    </row>
    <row r="86" spans="1:35">
      <c r="A86" s="89">
        <v>10</v>
      </c>
      <c r="B86" s="62"/>
      <c r="C86" s="62"/>
      <c r="D86" s="58" t="s">
        <v>298</v>
      </c>
      <c r="E86" s="215"/>
      <c r="F86" s="62"/>
      <c r="G86" s="60"/>
      <c r="H86" s="60"/>
      <c r="I86" s="85">
        <f>SUBTOTAL(9,I87)</f>
        <v>2346.4499999999998</v>
      </c>
    </row>
    <row r="87" spans="1:35" ht="25.5">
      <c r="A87" s="261" t="s">
        <v>58</v>
      </c>
      <c r="B87" s="256" t="s">
        <v>299</v>
      </c>
      <c r="C87" s="256" t="s">
        <v>69</v>
      </c>
      <c r="D87" s="257" t="s">
        <v>300</v>
      </c>
      <c r="E87" s="259">
        <v>40.47</v>
      </c>
      <c r="F87" s="105" t="s">
        <v>258</v>
      </c>
      <c r="G87" s="259">
        <f>ROUND(H87*0.7029,2)</f>
        <v>40.75</v>
      </c>
      <c r="H87" s="259">
        <v>57.98</v>
      </c>
      <c r="I87" s="270">
        <f>ROUND((H87*E87),2)</f>
        <v>2346.4499999999998</v>
      </c>
    </row>
    <row r="88" spans="1:35">
      <c r="A88" s="89">
        <v>11</v>
      </c>
      <c r="B88" s="62"/>
      <c r="C88" s="62"/>
      <c r="D88" s="58" t="s">
        <v>2</v>
      </c>
      <c r="E88" s="215"/>
      <c r="F88" s="62"/>
      <c r="G88" s="60"/>
      <c r="H88" s="60"/>
      <c r="I88" s="85">
        <f>SUBTOTAL(9,I89:I99)</f>
        <v>20971.749999999996</v>
      </c>
    </row>
    <row r="89" spans="1:35">
      <c r="A89" s="238"/>
      <c r="B89" s="232"/>
      <c r="C89" s="232"/>
      <c r="D89" s="234" t="s">
        <v>301</v>
      </c>
      <c r="E89" s="235"/>
      <c r="F89" s="242"/>
      <c r="G89" s="235"/>
      <c r="H89" s="235"/>
      <c r="I89" s="241"/>
      <c r="J89" s="44"/>
      <c r="K89" s="34"/>
      <c r="L89" s="21"/>
      <c r="M89" s="34"/>
      <c r="N89" s="21"/>
      <c r="O89" s="34"/>
      <c r="P89" s="21"/>
      <c r="Q89" s="34"/>
      <c r="R89" s="21"/>
      <c r="S89" s="34"/>
      <c r="T89" s="21"/>
      <c r="U89" s="34"/>
      <c r="V89" s="21"/>
      <c r="W89" s="34"/>
      <c r="X89" s="21"/>
      <c r="Y89" s="34"/>
      <c r="Z89" s="21"/>
      <c r="AA89" s="34"/>
      <c r="AB89" s="21"/>
      <c r="AC89" s="34"/>
      <c r="AD89" s="21"/>
      <c r="AE89" s="34"/>
      <c r="AF89" s="21"/>
      <c r="AG89" s="34"/>
      <c r="AH89" s="21"/>
      <c r="AI89" s="34"/>
    </row>
    <row r="90" spans="1:35">
      <c r="A90" s="276" t="s">
        <v>0</v>
      </c>
      <c r="B90" s="262" t="s">
        <v>302</v>
      </c>
      <c r="C90" s="262" t="s">
        <v>69</v>
      </c>
      <c r="D90" s="257" t="s">
        <v>303</v>
      </c>
      <c r="E90" s="277">
        <v>209.84</v>
      </c>
      <c r="F90" s="278" t="s">
        <v>258</v>
      </c>
      <c r="G90" s="259">
        <f t="shared" ref="G90:G99" si="108">ROUND(H90*0.7029,2)</f>
        <v>28.66</v>
      </c>
      <c r="H90" s="259">
        <v>40.770000000000003</v>
      </c>
      <c r="I90" s="279">
        <f>ROUND((H90*E90),2)</f>
        <v>8555.18</v>
      </c>
    </row>
    <row r="91" spans="1:35">
      <c r="A91" s="276" t="s">
        <v>66</v>
      </c>
      <c r="B91" s="262" t="s">
        <v>361</v>
      </c>
      <c r="C91" s="262" t="s">
        <v>69</v>
      </c>
      <c r="D91" s="257" t="s">
        <v>362</v>
      </c>
      <c r="E91" s="277">
        <v>154.27000000000001</v>
      </c>
      <c r="F91" s="278" t="s">
        <v>258</v>
      </c>
      <c r="G91" s="259">
        <f t="shared" si="108"/>
        <v>19.71</v>
      </c>
      <c r="H91" s="259">
        <v>28.04</v>
      </c>
      <c r="I91" s="279">
        <f>ROUND((H91*E91),2)</f>
        <v>4325.7299999999996</v>
      </c>
    </row>
    <row r="92" spans="1:35">
      <c r="A92" s="276" t="s">
        <v>15</v>
      </c>
      <c r="B92" s="262" t="s">
        <v>479</v>
      </c>
      <c r="C92" s="262" t="s">
        <v>69</v>
      </c>
      <c r="D92" s="257" t="s">
        <v>480</v>
      </c>
      <c r="E92" s="277">
        <v>154.27000000000001</v>
      </c>
      <c r="F92" s="278" t="s">
        <v>269</v>
      </c>
      <c r="G92" s="259">
        <f t="shared" si="108"/>
        <v>13.76</v>
      </c>
      <c r="H92" s="259">
        <v>19.57</v>
      </c>
      <c r="I92" s="280">
        <f t="shared" ref="I92" si="109">ROUND((H92*E92),2)</f>
        <v>3019.06</v>
      </c>
    </row>
    <row r="93" spans="1:35">
      <c r="A93" s="247"/>
      <c r="B93" s="233"/>
      <c r="C93" s="233"/>
      <c r="D93" s="237" t="s">
        <v>304</v>
      </c>
      <c r="E93" s="248"/>
      <c r="F93" s="249"/>
      <c r="G93" s="248"/>
      <c r="H93" s="248"/>
      <c r="I93" s="250"/>
    </row>
    <row r="94" spans="1:35">
      <c r="A94" s="276" t="s">
        <v>1</v>
      </c>
      <c r="B94" s="262" t="s">
        <v>620</v>
      </c>
      <c r="C94" s="262" t="s">
        <v>69</v>
      </c>
      <c r="D94" s="257" t="s">
        <v>621</v>
      </c>
      <c r="E94" s="277">
        <v>46.01</v>
      </c>
      <c r="F94" s="278" t="s">
        <v>258</v>
      </c>
      <c r="G94" s="259">
        <f t="shared" si="108"/>
        <v>19.96</v>
      </c>
      <c r="H94" s="259">
        <v>28.4</v>
      </c>
      <c r="I94" s="279">
        <f>ROUND((H94*E94),2)</f>
        <v>1306.68</v>
      </c>
      <c r="J94" s="44"/>
      <c r="K94" s="34"/>
      <c r="L94" s="21"/>
      <c r="M94" s="34"/>
      <c r="N94" s="21"/>
      <c r="O94" s="34"/>
      <c r="P94" s="21"/>
      <c r="Q94" s="34"/>
      <c r="R94" s="21"/>
      <c r="S94" s="34"/>
      <c r="T94" s="21"/>
      <c r="U94" s="34"/>
      <c r="V94" s="21"/>
      <c r="W94" s="34"/>
      <c r="X94" s="21"/>
      <c r="Y94" s="34"/>
      <c r="Z94" s="21"/>
      <c r="AA94" s="34"/>
      <c r="AB94" s="21"/>
      <c r="AC94" s="34"/>
      <c r="AD94" s="21"/>
      <c r="AE94" s="34"/>
      <c r="AF94" s="21"/>
      <c r="AG94" s="34"/>
      <c r="AH94" s="21"/>
      <c r="AI94" s="34"/>
    </row>
    <row r="95" spans="1:35">
      <c r="A95" s="247"/>
      <c r="B95" s="233"/>
      <c r="C95" s="233"/>
      <c r="D95" s="237" t="s">
        <v>305</v>
      </c>
      <c r="E95" s="248"/>
      <c r="F95" s="249"/>
      <c r="G95" s="248"/>
      <c r="H95" s="248"/>
      <c r="I95" s="250"/>
    </row>
    <row r="96" spans="1:35">
      <c r="A96" s="276" t="s">
        <v>1</v>
      </c>
      <c r="B96" s="262" t="s">
        <v>306</v>
      </c>
      <c r="C96" s="262" t="s">
        <v>69</v>
      </c>
      <c r="D96" s="257" t="s">
        <v>307</v>
      </c>
      <c r="E96" s="277">
        <v>156.81</v>
      </c>
      <c r="F96" s="278" t="s">
        <v>258</v>
      </c>
      <c r="G96" s="259">
        <f t="shared" si="108"/>
        <v>12.09</v>
      </c>
      <c r="H96" s="259">
        <v>17.2</v>
      </c>
      <c r="I96" s="279">
        <f>ROUND((H96*E96),2)</f>
        <v>2697.13</v>
      </c>
    </row>
    <row r="97" spans="1:9">
      <c r="A97" s="276" t="s">
        <v>372</v>
      </c>
      <c r="B97" s="262" t="s">
        <v>308</v>
      </c>
      <c r="C97" s="262" t="s">
        <v>69</v>
      </c>
      <c r="D97" s="257" t="s">
        <v>309</v>
      </c>
      <c r="E97" s="277">
        <v>18.940000000000001</v>
      </c>
      <c r="F97" s="278" t="s">
        <v>258</v>
      </c>
      <c r="G97" s="259">
        <f t="shared" si="108"/>
        <v>21.52</v>
      </c>
      <c r="H97" s="259">
        <v>30.62</v>
      </c>
      <c r="I97" s="279">
        <f>ROUND((H97*E97),2)</f>
        <v>579.94000000000005</v>
      </c>
    </row>
    <row r="98" spans="1:9">
      <c r="A98" s="251"/>
      <c r="B98" s="233"/>
      <c r="C98" s="233"/>
      <c r="D98" s="237" t="s">
        <v>464</v>
      </c>
      <c r="E98" s="248"/>
      <c r="F98" s="249"/>
      <c r="G98" s="235"/>
      <c r="H98" s="235"/>
      <c r="I98" s="250"/>
    </row>
    <row r="99" spans="1:9" ht="25.5">
      <c r="A99" s="276" t="s">
        <v>432</v>
      </c>
      <c r="B99" s="262" t="s">
        <v>462</v>
      </c>
      <c r="C99" s="262" t="s">
        <v>69</v>
      </c>
      <c r="D99" s="257" t="s">
        <v>463</v>
      </c>
      <c r="E99" s="277">
        <v>15.84</v>
      </c>
      <c r="F99" s="278" t="s">
        <v>258</v>
      </c>
      <c r="G99" s="259">
        <f t="shared" si="108"/>
        <v>21.66</v>
      </c>
      <c r="H99" s="259">
        <v>30.81</v>
      </c>
      <c r="I99" s="279">
        <f>ROUND((H99*E99),2)</f>
        <v>488.03</v>
      </c>
    </row>
    <row r="100" spans="1:9">
      <c r="A100" s="89">
        <v>12</v>
      </c>
      <c r="B100" s="62"/>
      <c r="C100" s="62"/>
      <c r="D100" s="58" t="s">
        <v>348</v>
      </c>
      <c r="E100" s="215"/>
      <c r="F100" s="62"/>
      <c r="G100" s="60"/>
      <c r="H100" s="60"/>
      <c r="I100" s="85">
        <f>SUBTOTAL(9,I101:I148)</f>
        <v>18649.080000000002</v>
      </c>
    </row>
    <row r="101" spans="1:9">
      <c r="A101" s="238"/>
      <c r="B101" s="232"/>
      <c r="C101" s="232"/>
      <c r="D101" s="234" t="s">
        <v>509</v>
      </c>
      <c r="E101" s="235"/>
      <c r="F101" s="242"/>
      <c r="G101" s="235"/>
      <c r="H101" s="235"/>
      <c r="I101" s="241"/>
    </row>
    <row r="102" spans="1:9" ht="51">
      <c r="A102" s="261" t="s">
        <v>3</v>
      </c>
      <c r="B102" s="256">
        <v>94499</v>
      </c>
      <c r="C102" s="256" t="s">
        <v>31</v>
      </c>
      <c r="D102" s="257" t="s">
        <v>510</v>
      </c>
      <c r="E102" s="105">
        <v>2</v>
      </c>
      <c r="F102" s="105" t="s">
        <v>282</v>
      </c>
      <c r="G102" s="259">
        <v>223.04</v>
      </c>
      <c r="H102" s="259">
        <f t="shared" ref="H102:H103" si="110">ROUND((G102*$I$7)+G102,2)</f>
        <v>289.31</v>
      </c>
      <c r="I102" s="270">
        <f t="shared" ref="I102:I132" si="111">ROUND((H102*E102),2)</f>
        <v>578.62</v>
      </c>
    </row>
    <row r="103" spans="1:9" ht="51">
      <c r="A103" s="261" t="s">
        <v>4</v>
      </c>
      <c r="B103" s="256">
        <v>94498</v>
      </c>
      <c r="C103" s="256" t="s">
        <v>31</v>
      </c>
      <c r="D103" s="257" t="s">
        <v>511</v>
      </c>
      <c r="E103" s="105">
        <v>2</v>
      </c>
      <c r="F103" s="105" t="s">
        <v>282</v>
      </c>
      <c r="G103" s="259">
        <v>124.59</v>
      </c>
      <c r="H103" s="259">
        <f t="shared" si="110"/>
        <v>161.61000000000001</v>
      </c>
      <c r="I103" s="270">
        <f t="shared" si="111"/>
        <v>323.22000000000003</v>
      </c>
    </row>
    <row r="104" spans="1:9" ht="38.25">
      <c r="A104" s="261" t="s">
        <v>5</v>
      </c>
      <c r="B104" s="256">
        <v>89356</v>
      </c>
      <c r="C104" s="256" t="s">
        <v>31</v>
      </c>
      <c r="D104" s="281" t="s">
        <v>512</v>
      </c>
      <c r="E104" s="105">
        <v>89.2</v>
      </c>
      <c r="F104" s="105" t="s">
        <v>67</v>
      </c>
      <c r="G104" s="259">
        <v>17.809999999999999</v>
      </c>
      <c r="H104" s="259">
        <f>ROUND((G104*$I$7)+G104,2)</f>
        <v>23.1</v>
      </c>
      <c r="I104" s="270">
        <f t="shared" si="111"/>
        <v>2060.52</v>
      </c>
    </row>
    <row r="105" spans="1:9" ht="51">
      <c r="A105" s="261" t="s">
        <v>6</v>
      </c>
      <c r="B105" s="256">
        <v>94494</v>
      </c>
      <c r="C105" s="256" t="s">
        <v>31</v>
      </c>
      <c r="D105" s="281" t="s">
        <v>513</v>
      </c>
      <c r="E105" s="105">
        <v>6</v>
      </c>
      <c r="F105" s="105" t="s">
        <v>282</v>
      </c>
      <c r="G105" s="259">
        <v>55.2</v>
      </c>
      <c r="H105" s="259">
        <f>ROUND((G105*$I$7)+G105,2)</f>
        <v>71.599999999999994</v>
      </c>
      <c r="I105" s="270">
        <f t="shared" si="111"/>
        <v>429.6</v>
      </c>
    </row>
    <row r="106" spans="1:9" ht="25.5">
      <c r="A106" s="261" t="s">
        <v>7</v>
      </c>
      <c r="B106" s="256" t="s">
        <v>514</v>
      </c>
      <c r="C106" s="256" t="s">
        <v>68</v>
      </c>
      <c r="D106" s="282" t="s">
        <v>515</v>
      </c>
      <c r="E106" s="105">
        <v>8</v>
      </c>
      <c r="F106" s="105" t="s">
        <v>282</v>
      </c>
      <c r="G106" s="259">
        <v>78.040000000000006</v>
      </c>
      <c r="H106" s="259">
        <f t="shared" ref="H106:H132" si="112">ROUND((G106*$I$7)+G106,2)</f>
        <v>101.23</v>
      </c>
      <c r="I106" s="270">
        <f t="shared" si="111"/>
        <v>809.84</v>
      </c>
    </row>
    <row r="107" spans="1:9" ht="25.5">
      <c r="A107" s="261" t="s">
        <v>8</v>
      </c>
      <c r="B107" s="256" t="s">
        <v>516</v>
      </c>
      <c r="C107" s="256" t="s">
        <v>69</v>
      </c>
      <c r="D107" s="281" t="s">
        <v>517</v>
      </c>
      <c r="E107" s="105">
        <v>4</v>
      </c>
      <c r="F107" s="105" t="s">
        <v>282</v>
      </c>
      <c r="G107" s="259">
        <f t="shared" ref="G107" si="113">ROUND(H107*0.7029,2)</f>
        <v>216.72</v>
      </c>
      <c r="H107" s="259">
        <v>308.32</v>
      </c>
      <c r="I107" s="270">
        <f t="shared" si="111"/>
        <v>1233.28</v>
      </c>
    </row>
    <row r="108" spans="1:9">
      <c r="A108" s="261" t="s">
        <v>468</v>
      </c>
      <c r="B108" s="256" t="s">
        <v>518</v>
      </c>
      <c r="C108" s="256" t="s">
        <v>68</v>
      </c>
      <c r="D108" s="283" t="s">
        <v>519</v>
      </c>
      <c r="E108" s="105">
        <v>6</v>
      </c>
      <c r="F108" s="105" t="s">
        <v>282</v>
      </c>
      <c r="G108" s="259">
        <v>7.89</v>
      </c>
      <c r="H108" s="259">
        <f t="shared" si="112"/>
        <v>10.23</v>
      </c>
      <c r="I108" s="270">
        <f t="shared" si="111"/>
        <v>61.38</v>
      </c>
    </row>
    <row r="109" spans="1:9" ht="38.25">
      <c r="A109" s="261" t="s">
        <v>469</v>
      </c>
      <c r="B109" s="256">
        <v>89385</v>
      </c>
      <c r="C109" s="256" t="s">
        <v>31</v>
      </c>
      <c r="D109" s="281" t="s">
        <v>520</v>
      </c>
      <c r="E109" s="105">
        <v>8</v>
      </c>
      <c r="F109" s="105" t="s">
        <v>282</v>
      </c>
      <c r="G109" s="259">
        <v>5.53</v>
      </c>
      <c r="H109" s="259">
        <f t="shared" si="112"/>
        <v>7.17</v>
      </c>
      <c r="I109" s="270">
        <f t="shared" si="111"/>
        <v>57.36</v>
      </c>
    </row>
    <row r="110" spans="1:9" ht="63.75">
      <c r="A110" s="261" t="s">
        <v>470</v>
      </c>
      <c r="B110" s="256">
        <v>94713</v>
      </c>
      <c r="C110" s="256" t="s">
        <v>31</v>
      </c>
      <c r="D110" s="281" t="s">
        <v>521</v>
      </c>
      <c r="E110" s="105">
        <v>2</v>
      </c>
      <c r="F110" s="105" t="s">
        <v>282</v>
      </c>
      <c r="G110" s="259">
        <v>157.97999999999999</v>
      </c>
      <c r="H110" s="259">
        <f t="shared" si="112"/>
        <v>204.92</v>
      </c>
      <c r="I110" s="270">
        <f t="shared" si="111"/>
        <v>409.84</v>
      </c>
    </row>
    <row r="111" spans="1:9" ht="51">
      <c r="A111" s="261" t="s">
        <v>471</v>
      </c>
      <c r="B111" s="256">
        <v>89383</v>
      </c>
      <c r="C111" s="256" t="s">
        <v>31</v>
      </c>
      <c r="D111" s="281" t="s">
        <v>522</v>
      </c>
      <c r="E111" s="105">
        <v>20</v>
      </c>
      <c r="F111" s="105" t="s">
        <v>282</v>
      </c>
      <c r="G111" s="259">
        <v>5.43</v>
      </c>
      <c r="H111" s="259">
        <f t="shared" si="112"/>
        <v>7.04</v>
      </c>
      <c r="I111" s="270">
        <f t="shared" si="111"/>
        <v>140.80000000000001</v>
      </c>
    </row>
    <row r="112" spans="1:9" s="291" customFormat="1" ht="63.75">
      <c r="A112" s="409" t="s">
        <v>472</v>
      </c>
      <c r="B112" s="410">
        <v>94672</v>
      </c>
      <c r="C112" s="410" t="s">
        <v>31</v>
      </c>
      <c r="D112" s="411" t="s">
        <v>523</v>
      </c>
      <c r="E112" s="412">
        <v>8</v>
      </c>
      <c r="F112" s="412" t="s">
        <v>282</v>
      </c>
      <c r="G112" s="413">
        <v>7.9</v>
      </c>
      <c r="H112" s="413">
        <f t="shared" si="112"/>
        <v>10.25</v>
      </c>
      <c r="I112" s="414">
        <f t="shared" si="111"/>
        <v>82</v>
      </c>
    </row>
    <row r="113" spans="1:9" ht="38.25">
      <c r="A113" s="261" t="s">
        <v>473</v>
      </c>
      <c r="B113" s="256">
        <v>89362</v>
      </c>
      <c r="C113" s="256" t="s">
        <v>31</v>
      </c>
      <c r="D113" s="281" t="s">
        <v>524</v>
      </c>
      <c r="E113" s="105">
        <v>22</v>
      </c>
      <c r="F113" s="105" t="s">
        <v>282</v>
      </c>
      <c r="G113" s="259">
        <v>7.2</v>
      </c>
      <c r="H113" s="259">
        <f t="shared" si="112"/>
        <v>9.34</v>
      </c>
      <c r="I113" s="270">
        <f t="shared" si="111"/>
        <v>205.48</v>
      </c>
    </row>
    <row r="114" spans="1:9" ht="38.25">
      <c r="A114" s="261" t="s">
        <v>474</v>
      </c>
      <c r="B114" s="256">
        <v>89501</v>
      </c>
      <c r="C114" s="256" t="s">
        <v>31</v>
      </c>
      <c r="D114" s="281" t="s">
        <v>525</v>
      </c>
      <c r="E114" s="105">
        <v>4</v>
      </c>
      <c r="F114" s="105" t="s">
        <v>282</v>
      </c>
      <c r="G114" s="259">
        <v>9.91</v>
      </c>
      <c r="H114" s="259">
        <f t="shared" si="112"/>
        <v>12.85</v>
      </c>
      <c r="I114" s="270">
        <f t="shared" si="111"/>
        <v>51.4</v>
      </c>
    </row>
    <row r="115" spans="1:9" ht="38.25">
      <c r="A115" s="261" t="s">
        <v>475</v>
      </c>
      <c r="B115" s="256">
        <v>89513</v>
      </c>
      <c r="C115" s="256" t="s">
        <v>31</v>
      </c>
      <c r="D115" s="281" t="s">
        <v>526</v>
      </c>
      <c r="E115" s="105">
        <v>4</v>
      </c>
      <c r="F115" s="105" t="s">
        <v>282</v>
      </c>
      <c r="G115" s="259">
        <v>68.739999999999995</v>
      </c>
      <c r="H115" s="259">
        <f t="shared" si="112"/>
        <v>89.16</v>
      </c>
      <c r="I115" s="270">
        <f t="shared" si="111"/>
        <v>356.64</v>
      </c>
    </row>
    <row r="116" spans="1:9" ht="38.25">
      <c r="A116" s="261" t="s">
        <v>476</v>
      </c>
      <c r="B116" s="256">
        <v>89448</v>
      </c>
      <c r="C116" s="256" t="s">
        <v>31</v>
      </c>
      <c r="D116" s="281" t="s">
        <v>527</v>
      </c>
      <c r="E116" s="105">
        <v>4</v>
      </c>
      <c r="F116" s="105" t="s">
        <v>67</v>
      </c>
      <c r="G116" s="259">
        <v>9.35</v>
      </c>
      <c r="H116" s="259">
        <f t="shared" si="112"/>
        <v>12.13</v>
      </c>
      <c r="I116" s="270">
        <f t="shared" si="111"/>
        <v>48.52</v>
      </c>
    </row>
    <row r="117" spans="1:9" ht="38.25">
      <c r="A117" s="261" t="s">
        <v>477</v>
      </c>
      <c r="B117" s="256">
        <v>89449</v>
      </c>
      <c r="C117" s="256" t="s">
        <v>31</v>
      </c>
      <c r="D117" s="281" t="s">
        <v>528</v>
      </c>
      <c r="E117" s="105">
        <v>5.63</v>
      </c>
      <c r="F117" s="105" t="s">
        <v>67</v>
      </c>
      <c r="G117" s="259">
        <v>12.31</v>
      </c>
      <c r="H117" s="259">
        <f t="shared" si="112"/>
        <v>15.97</v>
      </c>
      <c r="I117" s="270">
        <f t="shared" si="111"/>
        <v>89.91</v>
      </c>
    </row>
    <row r="118" spans="1:9" ht="38.25">
      <c r="A118" s="261" t="s">
        <v>533</v>
      </c>
      <c r="B118" s="256">
        <v>89450</v>
      </c>
      <c r="C118" s="256" t="s">
        <v>31</v>
      </c>
      <c r="D118" s="281" t="s">
        <v>529</v>
      </c>
      <c r="E118" s="105">
        <v>8.43</v>
      </c>
      <c r="F118" s="105" t="s">
        <v>67</v>
      </c>
      <c r="G118" s="259">
        <v>18.73</v>
      </c>
      <c r="H118" s="259">
        <f t="shared" si="112"/>
        <v>24.29</v>
      </c>
      <c r="I118" s="270">
        <f t="shared" si="111"/>
        <v>204.76</v>
      </c>
    </row>
    <row r="119" spans="1:9" ht="38.25">
      <c r="A119" s="261" t="s">
        <v>534</v>
      </c>
      <c r="B119" s="256">
        <v>89451</v>
      </c>
      <c r="C119" s="256" t="s">
        <v>31</v>
      </c>
      <c r="D119" s="281" t="s">
        <v>530</v>
      </c>
      <c r="E119" s="105">
        <v>1.18</v>
      </c>
      <c r="F119" s="105" t="s">
        <v>67</v>
      </c>
      <c r="G119" s="259">
        <v>26.06</v>
      </c>
      <c r="H119" s="259">
        <f t="shared" si="112"/>
        <v>33.799999999999997</v>
      </c>
      <c r="I119" s="270">
        <f t="shared" si="111"/>
        <v>39.880000000000003</v>
      </c>
    </row>
    <row r="120" spans="1:9" ht="38.25">
      <c r="A120" s="261" t="s">
        <v>535</v>
      </c>
      <c r="B120" s="256">
        <v>89395</v>
      </c>
      <c r="C120" s="256" t="s">
        <v>31</v>
      </c>
      <c r="D120" s="281" t="s">
        <v>531</v>
      </c>
      <c r="E120" s="105">
        <v>8</v>
      </c>
      <c r="F120" s="105" t="s">
        <v>282</v>
      </c>
      <c r="G120" s="259">
        <v>9.94</v>
      </c>
      <c r="H120" s="259">
        <f t="shared" si="112"/>
        <v>12.89</v>
      </c>
      <c r="I120" s="270">
        <f t="shared" si="111"/>
        <v>103.12</v>
      </c>
    </row>
    <row r="121" spans="1:9" ht="25.5">
      <c r="A121" s="261" t="s">
        <v>536</v>
      </c>
      <c r="B121" s="256">
        <v>89628</v>
      </c>
      <c r="C121" s="256" t="s">
        <v>31</v>
      </c>
      <c r="D121" s="281" t="s">
        <v>532</v>
      </c>
      <c r="E121" s="105">
        <v>6</v>
      </c>
      <c r="F121" s="105" t="s">
        <v>282</v>
      </c>
      <c r="G121" s="259">
        <v>30</v>
      </c>
      <c r="H121" s="259">
        <f t="shared" si="112"/>
        <v>38.909999999999997</v>
      </c>
      <c r="I121" s="270">
        <f t="shared" si="111"/>
        <v>233.46</v>
      </c>
    </row>
    <row r="122" spans="1:9" ht="38.25">
      <c r="A122" s="261" t="s">
        <v>537</v>
      </c>
      <c r="B122" s="256">
        <v>89505</v>
      </c>
      <c r="C122" s="256" t="s">
        <v>31</v>
      </c>
      <c r="D122" s="281" t="s">
        <v>584</v>
      </c>
      <c r="E122" s="105">
        <v>2</v>
      </c>
      <c r="F122" s="105" t="s">
        <v>282</v>
      </c>
      <c r="G122" s="259">
        <v>25.79</v>
      </c>
      <c r="H122" s="259">
        <f t="shared" si="112"/>
        <v>33.450000000000003</v>
      </c>
      <c r="I122" s="270">
        <f t="shared" si="111"/>
        <v>66.900000000000006</v>
      </c>
    </row>
    <row r="123" spans="1:9" ht="51">
      <c r="A123" s="261" t="s">
        <v>538</v>
      </c>
      <c r="B123" s="256">
        <v>89595</v>
      </c>
      <c r="C123" s="256" t="s">
        <v>31</v>
      </c>
      <c r="D123" s="257" t="s">
        <v>585</v>
      </c>
      <c r="E123" s="259">
        <v>4</v>
      </c>
      <c r="F123" s="105" t="s">
        <v>282</v>
      </c>
      <c r="G123" s="259">
        <v>10.9</v>
      </c>
      <c r="H123" s="259">
        <f t="shared" si="112"/>
        <v>14.14</v>
      </c>
      <c r="I123" s="270">
        <f t="shared" si="111"/>
        <v>56.56</v>
      </c>
    </row>
    <row r="124" spans="1:9" ht="51">
      <c r="A124" s="261" t="s">
        <v>539</v>
      </c>
      <c r="B124" s="256">
        <v>89610</v>
      </c>
      <c r="C124" s="256" t="s">
        <v>31</v>
      </c>
      <c r="D124" s="257" t="s">
        <v>586</v>
      </c>
      <c r="E124" s="259">
        <v>4</v>
      </c>
      <c r="F124" s="105" t="s">
        <v>282</v>
      </c>
      <c r="G124" s="259">
        <v>14.39</v>
      </c>
      <c r="H124" s="259">
        <f t="shared" si="112"/>
        <v>18.670000000000002</v>
      </c>
      <c r="I124" s="270">
        <f t="shared" si="111"/>
        <v>74.680000000000007</v>
      </c>
    </row>
    <row r="125" spans="1:9" ht="51">
      <c r="A125" s="261" t="s">
        <v>540</v>
      </c>
      <c r="B125" s="256">
        <v>89613</v>
      </c>
      <c r="C125" s="256" t="s">
        <v>31</v>
      </c>
      <c r="D125" s="257" t="s">
        <v>587</v>
      </c>
      <c r="E125" s="259">
        <v>4</v>
      </c>
      <c r="F125" s="105" t="s">
        <v>282</v>
      </c>
      <c r="G125" s="259">
        <v>23.07</v>
      </c>
      <c r="H125" s="259">
        <f t="shared" si="112"/>
        <v>29.92</v>
      </c>
      <c r="I125" s="270">
        <f t="shared" si="111"/>
        <v>119.68</v>
      </c>
    </row>
    <row r="126" spans="1:9">
      <c r="A126" s="261" t="s">
        <v>541</v>
      </c>
      <c r="B126" s="256">
        <f>Composições!A74</f>
        <v>9</v>
      </c>
      <c r="C126" s="256" t="s">
        <v>389</v>
      </c>
      <c r="D126" s="257" t="str">
        <f>Composições!C74</f>
        <v>BUCHA DE REDUÇÃO SOLDÁVEL CURTA 60MM -  50MM</v>
      </c>
      <c r="E126" s="259">
        <v>4</v>
      </c>
      <c r="F126" s="105" t="s">
        <v>282</v>
      </c>
      <c r="G126" s="259">
        <f>Composições!G74</f>
        <v>13.08</v>
      </c>
      <c r="H126" s="259">
        <f t="shared" si="112"/>
        <v>16.97</v>
      </c>
      <c r="I126" s="270">
        <f t="shared" si="111"/>
        <v>67.88</v>
      </c>
    </row>
    <row r="127" spans="1:9">
      <c r="A127" s="261" t="s">
        <v>549</v>
      </c>
      <c r="B127" s="256">
        <f>Composições!A85</f>
        <v>10</v>
      </c>
      <c r="C127" s="256" t="s">
        <v>389</v>
      </c>
      <c r="D127" s="257" t="str">
        <f>Composições!C85</f>
        <v>BUCHA DE REDUÇÃO SOLDÁVEL CURTA 75MM -  60MM</v>
      </c>
      <c r="E127" s="259">
        <v>2</v>
      </c>
      <c r="F127" s="105" t="s">
        <v>282</v>
      </c>
      <c r="G127" s="259">
        <f>Composições!G85</f>
        <v>18.080000000000002</v>
      </c>
      <c r="H127" s="259">
        <f t="shared" si="112"/>
        <v>23.45</v>
      </c>
      <c r="I127" s="270">
        <f t="shared" si="111"/>
        <v>46.9</v>
      </c>
    </row>
    <row r="128" spans="1:9">
      <c r="A128" s="261" t="s">
        <v>550</v>
      </c>
      <c r="B128" s="256">
        <f>Composições!A96</f>
        <v>11</v>
      </c>
      <c r="C128" s="256" t="s">
        <v>389</v>
      </c>
      <c r="D128" s="257" t="str">
        <f>Composições!C96</f>
        <v>BUCHA DE REDUÇÃO SOLDÁVEL LONGA 50MM -  25MM</v>
      </c>
      <c r="E128" s="259">
        <v>6</v>
      </c>
      <c r="F128" s="105" t="s">
        <v>282</v>
      </c>
      <c r="G128" s="259">
        <f>Composições!G96</f>
        <v>6.08</v>
      </c>
      <c r="H128" s="259">
        <f t="shared" si="112"/>
        <v>7.89</v>
      </c>
      <c r="I128" s="270">
        <f t="shared" si="111"/>
        <v>47.34</v>
      </c>
    </row>
    <row r="129" spans="1:35">
      <c r="A129" s="261" t="s">
        <v>551</v>
      </c>
      <c r="B129" s="256">
        <f>Composições!A107</f>
        <v>12</v>
      </c>
      <c r="C129" s="256" t="s">
        <v>389</v>
      </c>
      <c r="D129" s="257" t="str">
        <f>Composições!C107</f>
        <v>BUCHA DE REDUÇÃO SOLDÁVEL LONGA 60MM -  50MM</v>
      </c>
      <c r="E129" s="259">
        <v>4</v>
      </c>
      <c r="F129" s="105" t="s">
        <v>282</v>
      </c>
      <c r="G129" s="259">
        <f>Composições!G107</f>
        <v>9.08</v>
      </c>
      <c r="H129" s="259">
        <f t="shared" si="112"/>
        <v>11.78</v>
      </c>
      <c r="I129" s="270">
        <f t="shared" si="111"/>
        <v>47.12</v>
      </c>
    </row>
    <row r="130" spans="1:35">
      <c r="A130" s="261" t="s">
        <v>552</v>
      </c>
      <c r="B130" s="256">
        <f>Composições!A118</f>
        <v>13</v>
      </c>
      <c r="C130" s="256" t="s">
        <v>389</v>
      </c>
      <c r="D130" s="257" t="str">
        <f>Composições!C118</f>
        <v>TE DE REDUÇÃO 90° SOLDÁVEL 75MM - 60MM</v>
      </c>
      <c r="E130" s="259">
        <v>2</v>
      </c>
      <c r="F130" s="105" t="s">
        <v>282</v>
      </c>
      <c r="G130" s="259">
        <f>Composições!G118</f>
        <v>26.580000000000002</v>
      </c>
      <c r="H130" s="259">
        <f t="shared" si="112"/>
        <v>34.479999999999997</v>
      </c>
      <c r="I130" s="270">
        <f t="shared" si="111"/>
        <v>68.959999999999994</v>
      </c>
    </row>
    <row r="131" spans="1:35" ht="25.5">
      <c r="A131" s="261" t="s">
        <v>553</v>
      </c>
      <c r="B131" s="256">
        <f>Composições!A129</f>
        <v>14</v>
      </c>
      <c r="C131" s="256" t="s">
        <v>389</v>
      </c>
      <c r="D131" s="257" t="str">
        <f>Composições!C129</f>
        <v>JOELHO DE REDUÇÃO 90° SOLDÁVEL COM BUCHA DE LATÃO</v>
      </c>
      <c r="E131" s="259">
        <v>6</v>
      </c>
      <c r="F131" s="105" t="s">
        <v>282</v>
      </c>
      <c r="G131" s="259">
        <f>Composições!G129</f>
        <v>7.33</v>
      </c>
      <c r="H131" s="259">
        <f t="shared" si="112"/>
        <v>9.51</v>
      </c>
      <c r="I131" s="270">
        <f t="shared" si="111"/>
        <v>57.06</v>
      </c>
    </row>
    <row r="132" spans="1:35">
      <c r="A132" s="261" t="s">
        <v>602</v>
      </c>
      <c r="B132" s="256">
        <f>Composições!A140</f>
        <v>15</v>
      </c>
      <c r="C132" s="256" t="s">
        <v>389</v>
      </c>
      <c r="D132" s="257" t="str">
        <f>Composições!C140</f>
        <v>CAIXA D'ÁGUA 250L</v>
      </c>
      <c r="E132" s="259">
        <v>2</v>
      </c>
      <c r="F132" s="105" t="s">
        <v>282</v>
      </c>
      <c r="G132" s="259">
        <f>Composições!G140</f>
        <v>458.09</v>
      </c>
      <c r="H132" s="259">
        <f t="shared" si="112"/>
        <v>594.19000000000005</v>
      </c>
      <c r="I132" s="270">
        <f t="shared" si="111"/>
        <v>1188.3800000000001</v>
      </c>
    </row>
    <row r="133" spans="1:35" ht="12.75" customHeight="1">
      <c r="A133" s="238"/>
      <c r="B133" s="239"/>
      <c r="C133" s="239"/>
      <c r="D133" s="243" t="s">
        <v>542</v>
      </c>
      <c r="E133" s="244"/>
      <c r="F133" s="239"/>
      <c r="G133" s="245"/>
      <c r="H133" s="245"/>
      <c r="I133" s="246"/>
    </row>
    <row r="134" spans="1:35" ht="25.5">
      <c r="A134" s="261" t="s">
        <v>554</v>
      </c>
      <c r="B134" s="256" t="s">
        <v>543</v>
      </c>
      <c r="C134" s="256" t="s">
        <v>69</v>
      </c>
      <c r="D134" s="269" t="s">
        <v>544</v>
      </c>
      <c r="E134" s="284">
        <v>4</v>
      </c>
      <c r="F134" s="105" t="s">
        <v>282</v>
      </c>
      <c r="G134" s="259">
        <f t="shared" ref="G134" si="114">ROUND(H134*0.7029,2)</f>
        <v>49.99</v>
      </c>
      <c r="H134" s="259">
        <v>71.12</v>
      </c>
      <c r="I134" s="270">
        <f t="shared" ref="I134:I143" si="115">ROUND((H134*E134),2)</f>
        <v>284.48</v>
      </c>
      <c r="J134" s="44"/>
      <c r="K134" s="34"/>
      <c r="L134" s="21"/>
      <c r="M134" s="34"/>
      <c r="N134" s="21"/>
      <c r="O134" s="34"/>
      <c r="P134" s="21"/>
      <c r="Q134" s="34"/>
      <c r="R134" s="21"/>
      <c r="S134" s="34"/>
      <c r="T134" s="21"/>
      <c r="U134" s="34"/>
      <c r="V134" s="21"/>
      <c r="W134" s="34"/>
      <c r="X134" s="21"/>
      <c r="Y134" s="34"/>
      <c r="Z134" s="21"/>
      <c r="AA134" s="34"/>
      <c r="AB134" s="21"/>
      <c r="AC134" s="34"/>
      <c r="AD134" s="21"/>
      <c r="AE134" s="34"/>
      <c r="AF134" s="21"/>
      <c r="AG134" s="34"/>
      <c r="AH134" s="21"/>
      <c r="AI134" s="34"/>
    </row>
    <row r="135" spans="1:35" ht="25.5">
      <c r="A135" s="261" t="s">
        <v>603</v>
      </c>
      <c r="B135" s="256">
        <v>89714</v>
      </c>
      <c r="C135" s="256" t="s">
        <v>31</v>
      </c>
      <c r="D135" s="257" t="s">
        <v>192</v>
      </c>
      <c r="E135" s="258">
        <v>61.88</v>
      </c>
      <c r="F135" s="105" t="s">
        <v>67</v>
      </c>
      <c r="G135" s="259">
        <v>44.14</v>
      </c>
      <c r="H135" s="259">
        <f>ROUND((G135*$I$7)+G135,2)</f>
        <v>57.25</v>
      </c>
      <c r="I135" s="270">
        <f t="shared" si="115"/>
        <v>3542.63</v>
      </c>
    </row>
    <row r="136" spans="1:35" s="48" customFormat="1" ht="24.75" customHeight="1">
      <c r="A136" s="261" t="s">
        <v>555</v>
      </c>
      <c r="B136" s="256">
        <v>89712</v>
      </c>
      <c r="C136" s="256" t="s">
        <v>31</v>
      </c>
      <c r="D136" s="257" t="s">
        <v>193</v>
      </c>
      <c r="E136" s="258">
        <v>7.42</v>
      </c>
      <c r="F136" s="105" t="s">
        <v>67</v>
      </c>
      <c r="G136" s="259">
        <v>23.28</v>
      </c>
      <c r="H136" s="259">
        <f t="shared" ref="H136:H143" si="116">ROUND((G136*$I$7)+G136,2)</f>
        <v>30.2</v>
      </c>
      <c r="I136" s="270">
        <f t="shared" si="115"/>
        <v>224.08</v>
      </c>
    </row>
    <row r="137" spans="1:35" ht="55.5" customHeight="1">
      <c r="A137" s="261" t="s">
        <v>556</v>
      </c>
      <c r="B137" s="256">
        <v>89711</v>
      </c>
      <c r="C137" s="256" t="s">
        <v>31</v>
      </c>
      <c r="D137" s="257" t="s">
        <v>194</v>
      </c>
      <c r="E137" s="258">
        <v>16.690000000000001</v>
      </c>
      <c r="F137" s="105" t="s">
        <v>67</v>
      </c>
      <c r="G137" s="259">
        <v>16.16</v>
      </c>
      <c r="H137" s="259">
        <f t="shared" si="116"/>
        <v>20.96</v>
      </c>
      <c r="I137" s="270">
        <f t="shared" si="115"/>
        <v>349.82</v>
      </c>
    </row>
    <row r="138" spans="1:35" ht="51">
      <c r="A138" s="261" t="s">
        <v>604</v>
      </c>
      <c r="B138" s="256">
        <v>89732</v>
      </c>
      <c r="C138" s="256" t="s">
        <v>31</v>
      </c>
      <c r="D138" s="257" t="s">
        <v>195</v>
      </c>
      <c r="E138" s="258">
        <v>4</v>
      </c>
      <c r="F138" s="105" t="s">
        <v>282</v>
      </c>
      <c r="G138" s="259">
        <v>8.74</v>
      </c>
      <c r="H138" s="259">
        <f t="shared" si="116"/>
        <v>11.34</v>
      </c>
      <c r="I138" s="270">
        <f t="shared" si="115"/>
        <v>45.36</v>
      </c>
      <c r="J138" s="44"/>
      <c r="K138" s="34"/>
      <c r="L138" s="21"/>
      <c r="M138" s="34"/>
      <c r="N138" s="21"/>
      <c r="O138" s="34"/>
      <c r="P138" s="21"/>
      <c r="Q138" s="34"/>
      <c r="R138" s="21"/>
      <c r="S138" s="34"/>
      <c r="T138" s="21"/>
      <c r="U138" s="34"/>
      <c r="V138" s="21"/>
      <c r="W138" s="34"/>
      <c r="X138" s="21"/>
      <c r="Y138" s="34"/>
      <c r="Z138" s="21"/>
      <c r="AA138" s="34"/>
      <c r="AB138" s="21"/>
      <c r="AC138" s="34"/>
      <c r="AD138" s="21"/>
      <c r="AE138" s="34"/>
      <c r="AF138" s="21"/>
      <c r="AG138" s="34"/>
      <c r="AH138" s="21"/>
      <c r="AI138" s="34"/>
    </row>
    <row r="139" spans="1:35">
      <c r="A139" s="261" t="s">
        <v>557</v>
      </c>
      <c r="B139" s="256" t="s">
        <v>545</v>
      </c>
      <c r="C139" s="256" t="s">
        <v>68</v>
      </c>
      <c r="D139" s="283" t="s">
        <v>546</v>
      </c>
      <c r="E139" s="258">
        <v>12</v>
      </c>
      <c r="F139" s="105" t="s">
        <v>282</v>
      </c>
      <c r="G139" s="259">
        <v>45.31</v>
      </c>
      <c r="H139" s="259">
        <f t="shared" si="116"/>
        <v>58.77</v>
      </c>
      <c r="I139" s="270">
        <f t="shared" si="115"/>
        <v>705.24</v>
      </c>
    </row>
    <row r="140" spans="1:35" ht="51">
      <c r="A140" s="261" t="s">
        <v>605</v>
      </c>
      <c r="B140" s="256">
        <v>89753</v>
      </c>
      <c r="C140" s="256" t="s">
        <v>31</v>
      </c>
      <c r="D140" s="257" t="s">
        <v>547</v>
      </c>
      <c r="E140" s="258">
        <v>4</v>
      </c>
      <c r="F140" s="105" t="s">
        <v>282</v>
      </c>
      <c r="G140" s="259">
        <v>6.25</v>
      </c>
      <c r="H140" s="259">
        <f t="shared" si="116"/>
        <v>8.11</v>
      </c>
      <c r="I140" s="270">
        <f t="shared" si="115"/>
        <v>32.44</v>
      </c>
      <c r="J140" s="44"/>
      <c r="K140" s="34"/>
      <c r="L140" s="21"/>
      <c r="M140" s="34"/>
      <c r="N140" s="21"/>
      <c r="O140" s="34"/>
      <c r="P140" s="21"/>
      <c r="Q140" s="34"/>
      <c r="R140" s="21"/>
      <c r="S140" s="34"/>
      <c r="T140" s="21"/>
      <c r="U140" s="34"/>
      <c r="V140" s="21"/>
      <c r="W140" s="34"/>
      <c r="X140" s="21"/>
      <c r="Y140" s="34"/>
      <c r="Z140" s="21"/>
      <c r="AA140" s="34"/>
      <c r="AB140" s="21"/>
      <c r="AC140" s="34"/>
      <c r="AD140" s="21"/>
      <c r="AE140" s="34"/>
      <c r="AF140" s="21"/>
      <c r="AG140" s="34"/>
      <c r="AH140" s="21"/>
      <c r="AI140" s="34"/>
    </row>
    <row r="141" spans="1:35" ht="51">
      <c r="A141" s="261" t="s">
        <v>606</v>
      </c>
      <c r="B141" s="256">
        <v>89778</v>
      </c>
      <c r="C141" s="256" t="s">
        <v>31</v>
      </c>
      <c r="D141" s="257" t="s">
        <v>548</v>
      </c>
      <c r="E141" s="258">
        <v>8</v>
      </c>
      <c r="F141" s="105" t="s">
        <v>282</v>
      </c>
      <c r="G141" s="259">
        <v>13.08</v>
      </c>
      <c r="H141" s="259">
        <f t="shared" si="116"/>
        <v>16.97</v>
      </c>
      <c r="I141" s="270">
        <f t="shared" si="115"/>
        <v>135.76</v>
      </c>
    </row>
    <row r="142" spans="1:35" ht="51">
      <c r="A142" s="256" t="s">
        <v>607</v>
      </c>
      <c r="B142" s="415">
        <v>89784</v>
      </c>
      <c r="C142" s="256" t="s">
        <v>31</v>
      </c>
      <c r="D142" s="416" t="s">
        <v>624</v>
      </c>
      <c r="E142" s="417">
        <v>4</v>
      </c>
      <c r="F142" s="418" t="s">
        <v>282</v>
      </c>
      <c r="G142" s="419">
        <v>14.29</v>
      </c>
      <c r="H142" s="419">
        <f t="shared" si="116"/>
        <v>18.54</v>
      </c>
      <c r="I142" s="420">
        <f t="shared" si="115"/>
        <v>74.16</v>
      </c>
    </row>
    <row r="143" spans="1:35" ht="51">
      <c r="A143" s="421"/>
      <c r="B143" s="256">
        <v>89801</v>
      </c>
      <c r="C143" s="421" t="s">
        <v>31</v>
      </c>
      <c r="D143" s="257" t="s">
        <v>626</v>
      </c>
      <c r="E143" s="432">
        <v>8</v>
      </c>
      <c r="F143" s="426" t="s">
        <v>282</v>
      </c>
      <c r="G143" s="425">
        <v>4.6100000000000003</v>
      </c>
      <c r="H143" s="424">
        <f t="shared" si="116"/>
        <v>5.98</v>
      </c>
      <c r="I143" s="260">
        <f t="shared" si="115"/>
        <v>47.84</v>
      </c>
    </row>
    <row r="144" spans="1:35">
      <c r="A144" s="256" t="s">
        <v>608</v>
      </c>
      <c r="B144" s="437">
        <v>3659</v>
      </c>
      <c r="C144" s="256" t="s">
        <v>31</v>
      </c>
      <c r="D144" s="433" t="s">
        <v>196</v>
      </c>
      <c r="E144" s="105">
        <v>4</v>
      </c>
      <c r="F144" s="105" t="s">
        <v>282</v>
      </c>
      <c r="G144" s="431">
        <v>10.94</v>
      </c>
      <c r="H144" s="429">
        <f t="shared" ref="H144:H148" si="117">ROUND((G144*$I$7)+G144,2)</f>
        <v>14.19</v>
      </c>
      <c r="I144" s="290">
        <f t="shared" ref="I144:I148" si="118">ROUND((H144*E144),2)</f>
        <v>56.76</v>
      </c>
    </row>
    <row r="145" spans="1:35">
      <c r="A145" s="437" t="s">
        <v>609</v>
      </c>
      <c r="B145" s="256">
        <f>Composições!A148</f>
        <v>16</v>
      </c>
      <c r="C145" s="256" t="s">
        <v>389</v>
      </c>
      <c r="D145" s="434" t="str">
        <f>Composições!C148</f>
        <v>JOELHO 45° SÉRIE NORMAL 40MM COM BOLSAS LISAS</v>
      </c>
      <c r="E145" s="105">
        <v>16</v>
      </c>
      <c r="F145" s="105" t="s">
        <v>282</v>
      </c>
      <c r="G145" s="431">
        <f>Composições!G148</f>
        <v>6.5400000000000009</v>
      </c>
      <c r="H145" s="430">
        <f t="shared" si="117"/>
        <v>8.48</v>
      </c>
      <c r="I145" s="428">
        <f t="shared" si="118"/>
        <v>135.68</v>
      </c>
    </row>
    <row r="146" spans="1:35">
      <c r="A146" s="256" t="s">
        <v>610</v>
      </c>
      <c r="B146" s="256">
        <f>Composições!A156</f>
        <v>17</v>
      </c>
      <c r="C146" s="256" t="s">
        <v>389</v>
      </c>
      <c r="D146" s="439" t="str">
        <f>Composições!C156</f>
        <v>CURVA 90° CURTA SÉRIE NORMAL 100MM</v>
      </c>
      <c r="E146" s="105">
        <v>4</v>
      </c>
      <c r="F146" s="105" t="s">
        <v>282</v>
      </c>
      <c r="G146" s="435">
        <f>Composições!G156</f>
        <v>17.690000000000001</v>
      </c>
      <c r="H146" s="430">
        <f t="shared" si="117"/>
        <v>22.95</v>
      </c>
      <c r="I146" s="428">
        <f t="shared" si="118"/>
        <v>91.8</v>
      </c>
    </row>
    <row r="147" spans="1:35">
      <c r="A147" s="256" t="s">
        <v>611</v>
      </c>
      <c r="B147" s="256">
        <f>Composições!A164</f>
        <v>18</v>
      </c>
      <c r="C147" s="256" t="s">
        <v>389</v>
      </c>
      <c r="D147" s="436" t="str">
        <f>Composições!C164</f>
        <v>JUNÇÃO SIMPLES SÉRIE NORMAL 40MM COM BOLSAS LISAS</v>
      </c>
      <c r="E147" s="418">
        <v>2</v>
      </c>
      <c r="F147" s="105" t="s">
        <v>282</v>
      </c>
      <c r="G147" s="419">
        <f>Composições!G164</f>
        <v>8.19</v>
      </c>
      <c r="H147" s="429">
        <f t="shared" si="117"/>
        <v>10.62</v>
      </c>
      <c r="I147" s="290">
        <f t="shared" si="118"/>
        <v>21.24</v>
      </c>
    </row>
    <row r="148" spans="1:35">
      <c r="A148" s="256" t="s">
        <v>625</v>
      </c>
      <c r="B148" s="256">
        <f>Composições!A172</f>
        <v>19</v>
      </c>
      <c r="C148" s="438" t="s">
        <v>389</v>
      </c>
      <c r="D148" s="433" t="str">
        <f>Composições!C172</f>
        <v>CAIXA DE INSPEÇÃO PVC DN 100MM</v>
      </c>
      <c r="E148" s="105">
        <v>10</v>
      </c>
      <c r="F148" s="422" t="s">
        <v>282</v>
      </c>
      <c r="G148" s="259">
        <f>Composições!G172</f>
        <v>272.97000000000003</v>
      </c>
      <c r="H148" s="427">
        <f t="shared" si="117"/>
        <v>354.07</v>
      </c>
      <c r="I148" s="423">
        <f t="shared" si="118"/>
        <v>3540.7</v>
      </c>
    </row>
    <row r="149" spans="1:35">
      <c r="A149" s="89">
        <v>13</v>
      </c>
      <c r="B149" s="62"/>
      <c r="C149" s="62"/>
      <c r="D149" s="58" t="s">
        <v>13</v>
      </c>
      <c r="E149" s="215"/>
      <c r="F149" s="62"/>
      <c r="G149" s="60"/>
      <c r="H149" s="60"/>
      <c r="I149" s="85">
        <f>SUBTOTAL(9,I150:I154)</f>
        <v>6332.76</v>
      </c>
    </row>
    <row r="150" spans="1:35">
      <c r="A150" s="261" t="s">
        <v>9</v>
      </c>
      <c r="B150" s="256" t="s">
        <v>316</v>
      </c>
      <c r="C150" s="256" t="s">
        <v>69</v>
      </c>
      <c r="D150" s="257" t="s">
        <v>317</v>
      </c>
      <c r="E150" s="259">
        <v>4</v>
      </c>
      <c r="F150" s="105" t="s">
        <v>282</v>
      </c>
      <c r="G150" s="259">
        <f t="shared" ref="G150:G151" si="119">ROUND(H150*0.7029,2)</f>
        <v>287.04000000000002</v>
      </c>
      <c r="H150" s="259">
        <v>408.37</v>
      </c>
      <c r="I150" s="270">
        <f>ROUND((H150*E150),2)</f>
        <v>1633.48</v>
      </c>
    </row>
    <row r="151" spans="1:35">
      <c r="A151" s="261" t="s">
        <v>16</v>
      </c>
      <c r="B151" s="256" t="s">
        <v>453</v>
      </c>
      <c r="C151" s="256" t="s">
        <v>69</v>
      </c>
      <c r="D151" s="257" t="s">
        <v>454</v>
      </c>
      <c r="E151" s="259">
        <v>4</v>
      </c>
      <c r="F151" s="105" t="s">
        <v>282</v>
      </c>
      <c r="G151" s="259">
        <f t="shared" si="119"/>
        <v>63.42</v>
      </c>
      <c r="H151" s="259">
        <v>90.22</v>
      </c>
      <c r="I151" s="270">
        <f>ROUND((H151*E151),2)</f>
        <v>360.88</v>
      </c>
    </row>
    <row r="152" spans="1:35" ht="25.5">
      <c r="A152" s="261" t="s">
        <v>17</v>
      </c>
      <c r="B152" s="256" t="s">
        <v>318</v>
      </c>
      <c r="C152" s="256" t="s">
        <v>69</v>
      </c>
      <c r="D152" s="257" t="s">
        <v>319</v>
      </c>
      <c r="E152" s="259">
        <v>2.4</v>
      </c>
      <c r="F152" s="105" t="s">
        <v>67</v>
      </c>
      <c r="G152" s="259">
        <f t="shared" ref="G152" si="120">ROUND(H152*0.7029,2)</f>
        <v>1048.45</v>
      </c>
      <c r="H152" s="268">
        <v>1491.6</v>
      </c>
      <c r="I152" s="270">
        <f>ROUND((H152*E152),2)</f>
        <v>3579.84</v>
      </c>
    </row>
    <row r="153" spans="1:35">
      <c r="A153" s="261" t="s">
        <v>18</v>
      </c>
      <c r="B153" s="256" t="s">
        <v>451</v>
      </c>
      <c r="C153" s="256" t="s">
        <v>69</v>
      </c>
      <c r="D153" s="257" t="s">
        <v>452</v>
      </c>
      <c r="E153" s="259">
        <v>8</v>
      </c>
      <c r="F153" s="105" t="s">
        <v>282</v>
      </c>
      <c r="G153" s="259">
        <v>82.66</v>
      </c>
      <c r="H153" s="259">
        <v>79.650000000000006</v>
      </c>
      <c r="I153" s="270">
        <f>ROUND((G153*E153),2)</f>
        <v>661.28</v>
      </c>
    </row>
    <row r="154" spans="1:35">
      <c r="A154" s="261" t="s">
        <v>203</v>
      </c>
      <c r="B154" s="256" t="s">
        <v>455</v>
      </c>
      <c r="C154" s="256" t="s">
        <v>68</v>
      </c>
      <c r="D154" s="257" t="s">
        <v>628</v>
      </c>
      <c r="E154" s="259">
        <v>2</v>
      </c>
      <c r="F154" s="285" t="s">
        <v>282</v>
      </c>
      <c r="G154" s="259">
        <v>37.5</v>
      </c>
      <c r="H154" s="259">
        <f>ROUND((G154*$I$7)+G154,2)</f>
        <v>48.64</v>
      </c>
      <c r="I154" s="270">
        <f>ROUND((H154*E154),2)</f>
        <v>97.28</v>
      </c>
    </row>
    <row r="155" spans="1:35">
      <c r="A155" s="89">
        <v>14</v>
      </c>
      <c r="B155" s="62"/>
      <c r="C155" s="62"/>
      <c r="D155" s="58" t="s">
        <v>320</v>
      </c>
      <c r="E155" s="215"/>
      <c r="F155" s="62"/>
      <c r="G155" s="60"/>
      <c r="H155" s="60"/>
      <c r="I155" s="85">
        <f>SUBTOTAL(9,I156:I184)</f>
        <v>43100.930000000008</v>
      </c>
    </row>
    <row r="156" spans="1:35" ht="25.5">
      <c r="A156" s="261" t="s">
        <v>10</v>
      </c>
      <c r="B156" s="256">
        <v>93656</v>
      </c>
      <c r="C156" s="256" t="s">
        <v>31</v>
      </c>
      <c r="D156" s="269" t="s">
        <v>481</v>
      </c>
      <c r="E156" s="286">
        <v>8</v>
      </c>
      <c r="F156" s="256" t="s">
        <v>282</v>
      </c>
      <c r="G156" s="259">
        <v>9.99</v>
      </c>
      <c r="H156" s="259">
        <f t="shared" ref="H156:H184" si="121">ROUND((G156*$I$7)+G156,2)</f>
        <v>12.96</v>
      </c>
      <c r="I156" s="264">
        <f t="shared" ref="I156:I184" si="122">ROUND((H156*E156),2)</f>
        <v>103.68</v>
      </c>
    </row>
    <row r="157" spans="1:35" ht="25.5">
      <c r="A157" s="261" t="s">
        <v>11</v>
      </c>
      <c r="B157" s="256">
        <v>93665</v>
      </c>
      <c r="C157" s="256" t="s">
        <v>31</v>
      </c>
      <c r="D157" s="269" t="s">
        <v>482</v>
      </c>
      <c r="E157" s="286">
        <v>8</v>
      </c>
      <c r="F157" s="256" t="s">
        <v>282</v>
      </c>
      <c r="G157" s="259">
        <v>50.19</v>
      </c>
      <c r="H157" s="259">
        <f t="shared" si="121"/>
        <v>65.099999999999994</v>
      </c>
      <c r="I157" s="264">
        <f t="shared" si="122"/>
        <v>520.79999999999995</v>
      </c>
      <c r="J157" s="44"/>
      <c r="K157" s="34"/>
      <c r="L157" s="21"/>
      <c r="M157" s="34"/>
      <c r="N157" s="21"/>
      <c r="O157" s="34"/>
      <c r="P157" s="21"/>
      <c r="Q157" s="34"/>
      <c r="R157" s="21"/>
      <c r="S157" s="34"/>
      <c r="T157" s="21"/>
      <c r="U157" s="34"/>
      <c r="V157" s="21"/>
      <c r="W157" s="34"/>
      <c r="X157" s="21"/>
      <c r="Y157" s="34"/>
      <c r="Z157" s="21"/>
      <c r="AA157" s="34"/>
      <c r="AB157" s="21"/>
      <c r="AC157" s="34"/>
      <c r="AD157" s="21"/>
      <c r="AE157" s="34"/>
      <c r="AF157" s="21"/>
      <c r="AG157" s="34"/>
      <c r="AH157" s="21"/>
      <c r="AI157" s="34"/>
    </row>
    <row r="158" spans="1:35" ht="25.5">
      <c r="A158" s="261" t="s">
        <v>12</v>
      </c>
      <c r="B158" s="256">
        <v>93670</v>
      </c>
      <c r="C158" s="256" t="s">
        <v>31</v>
      </c>
      <c r="D158" s="269" t="s">
        <v>483</v>
      </c>
      <c r="E158" s="286">
        <v>2</v>
      </c>
      <c r="F158" s="256" t="s">
        <v>282</v>
      </c>
      <c r="G158" s="259">
        <v>56.84</v>
      </c>
      <c r="H158" s="259">
        <f t="shared" si="121"/>
        <v>73.73</v>
      </c>
      <c r="I158" s="264">
        <f t="shared" si="122"/>
        <v>147.46</v>
      </c>
    </row>
    <row r="159" spans="1:35" ht="25.5">
      <c r="A159" s="261" t="s">
        <v>433</v>
      </c>
      <c r="B159" s="256" t="s">
        <v>484</v>
      </c>
      <c r="C159" s="256" t="s">
        <v>68</v>
      </c>
      <c r="D159" s="282" t="s">
        <v>485</v>
      </c>
      <c r="E159" s="286">
        <v>1</v>
      </c>
      <c r="F159" s="256" t="s">
        <v>282</v>
      </c>
      <c r="G159" s="259">
        <v>124.32</v>
      </c>
      <c r="H159" s="259">
        <f t="shared" si="121"/>
        <v>161.26</v>
      </c>
      <c r="I159" s="264">
        <f t="shared" si="122"/>
        <v>161.26</v>
      </c>
    </row>
    <row r="160" spans="1:35" ht="25.5">
      <c r="A160" s="261" t="s">
        <v>434</v>
      </c>
      <c r="B160" s="256" t="s">
        <v>321</v>
      </c>
      <c r="C160" s="256" t="s">
        <v>69</v>
      </c>
      <c r="D160" s="257" t="s">
        <v>322</v>
      </c>
      <c r="E160" s="287">
        <v>4</v>
      </c>
      <c r="F160" s="105" t="s">
        <v>282</v>
      </c>
      <c r="G160" s="259">
        <f t="shared" ref="G160:G167" si="123">ROUND(H160*0.7029,2)</f>
        <v>128.15</v>
      </c>
      <c r="H160" s="259">
        <v>182.32</v>
      </c>
      <c r="I160" s="264">
        <f t="shared" si="122"/>
        <v>729.28</v>
      </c>
    </row>
    <row r="161" spans="1:9" ht="27" customHeight="1">
      <c r="A161" s="261" t="s">
        <v>435</v>
      </c>
      <c r="B161" s="256" t="s">
        <v>486</v>
      </c>
      <c r="C161" s="256" t="s">
        <v>69</v>
      </c>
      <c r="D161" s="269" t="s">
        <v>487</v>
      </c>
      <c r="E161" s="286">
        <v>20</v>
      </c>
      <c r="F161" s="256" t="s">
        <v>67</v>
      </c>
      <c r="G161" s="259">
        <f t="shared" si="123"/>
        <v>27.39</v>
      </c>
      <c r="H161" s="259">
        <v>38.97</v>
      </c>
      <c r="I161" s="264">
        <f t="shared" si="122"/>
        <v>779.4</v>
      </c>
    </row>
    <row r="162" spans="1:9" ht="25.5">
      <c r="A162" s="261" t="s">
        <v>436</v>
      </c>
      <c r="B162" s="256" t="s">
        <v>323</v>
      </c>
      <c r="C162" s="256" t="s">
        <v>69</v>
      </c>
      <c r="D162" s="257" t="s">
        <v>324</v>
      </c>
      <c r="E162" s="287">
        <v>8</v>
      </c>
      <c r="F162" s="105" t="s">
        <v>282</v>
      </c>
      <c r="G162" s="259">
        <f t="shared" si="123"/>
        <v>234.24</v>
      </c>
      <c r="H162" s="259">
        <v>333.25</v>
      </c>
      <c r="I162" s="270">
        <f t="shared" si="122"/>
        <v>2666</v>
      </c>
    </row>
    <row r="163" spans="1:9" ht="25.5">
      <c r="A163" s="261" t="s">
        <v>437</v>
      </c>
      <c r="B163" s="256" t="s">
        <v>488</v>
      </c>
      <c r="C163" s="256" t="s">
        <v>68</v>
      </c>
      <c r="D163" s="282" t="s">
        <v>489</v>
      </c>
      <c r="E163" s="286">
        <v>750</v>
      </c>
      <c r="F163" s="256" t="s">
        <v>67</v>
      </c>
      <c r="G163" s="259">
        <v>2.2599999999999998</v>
      </c>
      <c r="H163" s="259">
        <f t="shared" si="121"/>
        <v>2.93</v>
      </c>
      <c r="I163" s="270">
        <f t="shared" si="122"/>
        <v>2197.5</v>
      </c>
    </row>
    <row r="164" spans="1:9" ht="25.5">
      <c r="A164" s="261" t="s">
        <v>438</v>
      </c>
      <c r="B164" s="256" t="s">
        <v>490</v>
      </c>
      <c r="C164" s="256" t="s">
        <v>68</v>
      </c>
      <c r="D164" s="269" t="s">
        <v>491</v>
      </c>
      <c r="E164" s="286">
        <v>350</v>
      </c>
      <c r="F164" s="256" t="s">
        <v>67</v>
      </c>
      <c r="G164" s="259">
        <v>4.6500000000000004</v>
      </c>
      <c r="H164" s="259">
        <f t="shared" si="121"/>
        <v>6.03</v>
      </c>
      <c r="I164" s="270">
        <f t="shared" si="122"/>
        <v>2110.5</v>
      </c>
    </row>
    <row r="165" spans="1:9">
      <c r="A165" s="261" t="s">
        <v>439</v>
      </c>
      <c r="B165" s="256">
        <v>3</v>
      </c>
      <c r="C165" s="256" t="s">
        <v>389</v>
      </c>
      <c r="D165" s="257" t="s">
        <v>396</v>
      </c>
      <c r="E165" s="259">
        <v>8</v>
      </c>
      <c r="F165" s="105" t="s">
        <v>282</v>
      </c>
      <c r="G165" s="259">
        <f>Composições!G27</f>
        <v>141.73999999999998</v>
      </c>
      <c r="H165" s="259">
        <f t="shared" si="121"/>
        <v>183.85</v>
      </c>
      <c r="I165" s="270">
        <f t="shared" si="122"/>
        <v>1470.8</v>
      </c>
    </row>
    <row r="166" spans="1:9">
      <c r="A166" s="261" t="s">
        <v>440</v>
      </c>
      <c r="B166" s="256" t="s">
        <v>492</v>
      </c>
      <c r="C166" s="256" t="s">
        <v>68</v>
      </c>
      <c r="D166" s="283" t="s">
        <v>493</v>
      </c>
      <c r="E166" s="259">
        <v>24</v>
      </c>
      <c r="F166" s="105" t="s">
        <v>282</v>
      </c>
      <c r="G166" s="259">
        <v>9.25</v>
      </c>
      <c r="H166" s="259">
        <f t="shared" si="121"/>
        <v>12</v>
      </c>
      <c r="I166" s="270">
        <f t="shared" si="122"/>
        <v>288</v>
      </c>
    </row>
    <row r="167" spans="1:9">
      <c r="A167" s="261" t="s">
        <v>441</v>
      </c>
      <c r="B167" s="256" t="s">
        <v>494</v>
      </c>
      <c r="C167" s="256" t="s">
        <v>69</v>
      </c>
      <c r="D167" s="269" t="s">
        <v>495</v>
      </c>
      <c r="E167" s="286">
        <v>8</v>
      </c>
      <c r="F167" s="105" t="s">
        <v>282</v>
      </c>
      <c r="G167" s="259">
        <f t="shared" si="123"/>
        <v>350.23</v>
      </c>
      <c r="H167" s="259">
        <v>498.27</v>
      </c>
      <c r="I167" s="270">
        <f t="shared" si="122"/>
        <v>3986.16</v>
      </c>
    </row>
    <row r="168" spans="1:9" ht="25.5">
      <c r="A168" s="261" t="s">
        <v>442</v>
      </c>
      <c r="B168" s="256">
        <v>91936</v>
      </c>
      <c r="C168" s="256" t="s">
        <v>31</v>
      </c>
      <c r="D168" s="282" t="s">
        <v>496</v>
      </c>
      <c r="E168" s="286">
        <v>27</v>
      </c>
      <c r="F168" s="105" t="s">
        <v>282</v>
      </c>
      <c r="G168" s="259">
        <v>11.2</v>
      </c>
      <c r="H168" s="259">
        <f t="shared" si="121"/>
        <v>14.53</v>
      </c>
      <c r="I168" s="270">
        <f t="shared" si="122"/>
        <v>392.31</v>
      </c>
    </row>
    <row r="169" spans="1:9" ht="25.5">
      <c r="A169" s="261" t="s">
        <v>443</v>
      </c>
      <c r="B169" s="256">
        <v>83450</v>
      </c>
      <c r="C169" s="256" t="s">
        <v>31</v>
      </c>
      <c r="D169" s="269" t="s">
        <v>497</v>
      </c>
      <c r="E169" s="286">
        <v>4</v>
      </c>
      <c r="F169" s="256" t="s">
        <v>282</v>
      </c>
      <c r="G169" s="259">
        <v>418.51</v>
      </c>
      <c r="H169" s="259">
        <f t="shared" si="121"/>
        <v>542.85</v>
      </c>
      <c r="I169" s="270">
        <f t="shared" si="122"/>
        <v>2171.4</v>
      </c>
    </row>
    <row r="170" spans="1:9">
      <c r="A170" s="261" t="s">
        <v>444</v>
      </c>
      <c r="B170" s="256" t="s">
        <v>498</v>
      </c>
      <c r="C170" s="256" t="s">
        <v>68</v>
      </c>
      <c r="D170" s="283" t="s">
        <v>499</v>
      </c>
      <c r="E170" s="259">
        <v>2</v>
      </c>
      <c r="F170" s="105" t="s">
        <v>282</v>
      </c>
      <c r="G170" s="259">
        <v>21.74</v>
      </c>
      <c r="H170" s="259">
        <f t="shared" si="121"/>
        <v>28.2</v>
      </c>
      <c r="I170" s="270">
        <f t="shared" si="122"/>
        <v>56.4</v>
      </c>
    </row>
    <row r="171" spans="1:9">
      <c r="A171" s="261" t="s">
        <v>445</v>
      </c>
      <c r="B171" s="256" t="s">
        <v>500</v>
      </c>
      <c r="C171" s="256" t="s">
        <v>68</v>
      </c>
      <c r="D171" s="288" t="s">
        <v>501</v>
      </c>
      <c r="E171" s="289">
        <v>10</v>
      </c>
      <c r="F171" s="256" t="s">
        <v>502</v>
      </c>
      <c r="G171" s="259">
        <v>20.190000000000001</v>
      </c>
      <c r="H171" s="259">
        <f t="shared" si="121"/>
        <v>26.19</v>
      </c>
      <c r="I171" s="270">
        <f t="shared" si="122"/>
        <v>261.89999999999998</v>
      </c>
    </row>
    <row r="172" spans="1:9">
      <c r="A172" s="261" t="s">
        <v>446</v>
      </c>
      <c r="B172" s="256" t="s">
        <v>505</v>
      </c>
      <c r="C172" s="265" t="s">
        <v>68</v>
      </c>
      <c r="D172" s="283" t="s">
        <v>506</v>
      </c>
      <c r="E172" s="289">
        <v>2</v>
      </c>
      <c r="F172" s="256" t="s">
        <v>502</v>
      </c>
      <c r="G172" s="259">
        <v>15.31</v>
      </c>
      <c r="H172" s="259">
        <f t="shared" si="121"/>
        <v>19.86</v>
      </c>
      <c r="I172" s="264">
        <f t="shared" si="122"/>
        <v>39.72</v>
      </c>
    </row>
    <row r="173" spans="1:9" ht="25.5">
      <c r="A173" s="261" t="s">
        <v>447</v>
      </c>
      <c r="B173" s="256" t="s">
        <v>507</v>
      </c>
      <c r="C173" s="265" t="s">
        <v>68</v>
      </c>
      <c r="D173" s="282" t="s">
        <v>508</v>
      </c>
      <c r="E173" s="286">
        <v>2</v>
      </c>
      <c r="F173" s="256" t="s">
        <v>502</v>
      </c>
      <c r="G173" s="259">
        <v>21.02</v>
      </c>
      <c r="H173" s="259">
        <f t="shared" si="121"/>
        <v>27.27</v>
      </c>
      <c r="I173" s="264">
        <f t="shared" si="122"/>
        <v>54.54</v>
      </c>
    </row>
    <row r="174" spans="1:9" ht="51">
      <c r="A174" s="261" t="s">
        <v>448</v>
      </c>
      <c r="B174" s="256" t="s">
        <v>503</v>
      </c>
      <c r="C174" s="265" t="s">
        <v>31</v>
      </c>
      <c r="D174" s="281" t="s">
        <v>504</v>
      </c>
      <c r="E174" s="289">
        <v>1</v>
      </c>
      <c r="F174" s="256" t="s">
        <v>282</v>
      </c>
      <c r="G174" s="259">
        <v>984.33</v>
      </c>
      <c r="H174" s="259">
        <f t="shared" si="121"/>
        <v>1276.77</v>
      </c>
      <c r="I174" s="264">
        <f t="shared" si="122"/>
        <v>1276.77</v>
      </c>
    </row>
    <row r="175" spans="1:9">
      <c r="A175" s="261" t="s">
        <v>449</v>
      </c>
      <c r="B175" s="256" t="s">
        <v>390</v>
      </c>
      <c r="C175" s="256" t="s">
        <v>69</v>
      </c>
      <c r="D175" s="257" t="s">
        <v>391</v>
      </c>
      <c r="E175" s="259">
        <v>8</v>
      </c>
      <c r="F175" s="105" t="s">
        <v>282</v>
      </c>
      <c r="G175" s="259">
        <f t="shared" ref="G175" si="124">ROUND(H175*0.7029,2)</f>
        <v>3.73</v>
      </c>
      <c r="H175" s="259">
        <v>5.31</v>
      </c>
      <c r="I175" s="264">
        <f t="shared" si="122"/>
        <v>42.48</v>
      </c>
    </row>
    <row r="176" spans="1:9" ht="25.5">
      <c r="A176" s="261" t="s">
        <v>450</v>
      </c>
      <c r="B176" s="256">
        <f>Composições!A11</f>
        <v>1</v>
      </c>
      <c r="C176" s="256" t="s">
        <v>389</v>
      </c>
      <c r="D176" s="257" t="str">
        <f>Composições!C11</f>
        <v>LUMINÁRIA DE SOBRE POR PARA LÂMPADA TIPO TUBULAR - LED 2x10W</v>
      </c>
      <c r="E176" s="259">
        <v>7</v>
      </c>
      <c r="F176" s="105" t="s">
        <v>282</v>
      </c>
      <c r="G176" s="259">
        <f>Composições!G11</f>
        <v>251.99999999999997</v>
      </c>
      <c r="H176" s="259">
        <f t="shared" si="121"/>
        <v>326.87</v>
      </c>
      <c r="I176" s="264">
        <f t="shared" si="122"/>
        <v>2288.09</v>
      </c>
    </row>
    <row r="177" spans="1:9" ht="25.5">
      <c r="A177" s="261" t="s">
        <v>565</v>
      </c>
      <c r="B177" s="256">
        <f>Composições!A19</f>
        <v>2</v>
      </c>
      <c r="C177" s="256" t="s">
        <v>389</v>
      </c>
      <c r="D177" s="257" t="str">
        <f>Composições!C19</f>
        <v>LUMINÁRIA DE SOBRE POR PARA LÂMPADA TIPO TUBULAR - LED 2x18W</v>
      </c>
      <c r="E177" s="259">
        <v>12</v>
      </c>
      <c r="F177" s="105" t="s">
        <v>282</v>
      </c>
      <c r="G177" s="259">
        <f>Composições!G19</f>
        <v>313.93</v>
      </c>
      <c r="H177" s="259">
        <f t="shared" si="121"/>
        <v>407.2</v>
      </c>
      <c r="I177" s="264">
        <f t="shared" si="122"/>
        <v>4886.3999999999996</v>
      </c>
    </row>
    <row r="178" spans="1:9">
      <c r="A178" s="261" t="s">
        <v>566</v>
      </c>
      <c r="B178" s="256">
        <v>4</v>
      </c>
      <c r="C178" s="256" t="s">
        <v>389</v>
      </c>
      <c r="D178" s="257" t="str">
        <f>Composições!C35</f>
        <v>HASTE TERRA TIPO COPERWELD 5/8" X 2,40M</v>
      </c>
      <c r="E178" s="259">
        <v>3</v>
      </c>
      <c r="F178" s="105" t="s">
        <v>282</v>
      </c>
      <c r="G178" s="259">
        <f>Composições!G35</f>
        <v>37.65</v>
      </c>
      <c r="H178" s="259">
        <f t="shared" si="121"/>
        <v>48.84</v>
      </c>
      <c r="I178" s="264">
        <f t="shared" si="122"/>
        <v>146.52000000000001</v>
      </c>
    </row>
    <row r="179" spans="1:9">
      <c r="A179" s="261" t="s">
        <v>567</v>
      </c>
      <c r="B179" s="256">
        <f>Composições!A43</f>
        <v>5</v>
      </c>
      <c r="C179" s="256" t="s">
        <v>389</v>
      </c>
      <c r="D179" s="263" t="str">
        <f>Composições!C43</f>
        <v>ELETRODUTO FLEXÍVEL LISO PAREDE MÍNIMA 3MM - φ3/4"</v>
      </c>
      <c r="E179" s="259">
        <v>130</v>
      </c>
      <c r="F179" s="105" t="s">
        <v>67</v>
      </c>
      <c r="G179" s="259">
        <f>Composições!G43</f>
        <v>25.28</v>
      </c>
      <c r="H179" s="259">
        <f t="shared" si="121"/>
        <v>32.79</v>
      </c>
      <c r="I179" s="264">
        <f t="shared" si="122"/>
        <v>4262.7</v>
      </c>
    </row>
    <row r="180" spans="1:9">
      <c r="A180" s="261" t="s">
        <v>568</v>
      </c>
      <c r="B180" s="256">
        <f>Composições!A51</f>
        <v>6</v>
      </c>
      <c r="C180" s="256" t="s">
        <v>389</v>
      </c>
      <c r="D180" s="257" t="str">
        <f>Composições!C51</f>
        <v>ELETRODUTO FLEXÍVEL LISO PAREDE MÍNIMA 3MM - φ1"</v>
      </c>
      <c r="E180" s="259">
        <v>90</v>
      </c>
      <c r="F180" s="105" t="s">
        <v>67</v>
      </c>
      <c r="G180" s="259">
        <f>Composições!G51</f>
        <v>25.83</v>
      </c>
      <c r="H180" s="259">
        <f t="shared" si="121"/>
        <v>33.5</v>
      </c>
      <c r="I180" s="264">
        <f t="shared" si="122"/>
        <v>3015</v>
      </c>
    </row>
    <row r="181" spans="1:9">
      <c r="A181" s="261" t="s">
        <v>569</v>
      </c>
      <c r="B181" s="256">
        <f>Composições!A59</f>
        <v>7</v>
      </c>
      <c r="C181" s="256" t="s">
        <v>389</v>
      </c>
      <c r="D181" s="263" t="str">
        <f>Composições!C59</f>
        <v>ELETRODUTO FLEXÍVEL LISO PAREDE MÍNIMA 3MM - φ2"</v>
      </c>
      <c r="E181" s="259">
        <v>70</v>
      </c>
      <c r="F181" s="105" t="s">
        <v>67</v>
      </c>
      <c r="G181" s="259">
        <f>Composições!G59</f>
        <v>1.08</v>
      </c>
      <c r="H181" s="259">
        <f t="shared" si="121"/>
        <v>1.4</v>
      </c>
      <c r="I181" s="264">
        <f t="shared" si="122"/>
        <v>98</v>
      </c>
    </row>
    <row r="182" spans="1:9" ht="38.25">
      <c r="A182" s="261" t="s">
        <v>570</v>
      </c>
      <c r="B182" s="256">
        <v>92984</v>
      </c>
      <c r="C182" s="256" t="s">
        <v>31</v>
      </c>
      <c r="D182" s="257" t="s">
        <v>577</v>
      </c>
      <c r="E182" s="259">
        <v>70</v>
      </c>
      <c r="F182" s="105" t="s">
        <v>67</v>
      </c>
      <c r="G182" s="259">
        <v>14.39</v>
      </c>
      <c r="H182" s="259">
        <f t="shared" si="121"/>
        <v>18.670000000000002</v>
      </c>
      <c r="I182" s="264">
        <f t="shared" si="122"/>
        <v>1306.9000000000001</v>
      </c>
    </row>
    <row r="183" spans="1:9" ht="38.25">
      <c r="A183" s="261" t="s">
        <v>571</v>
      </c>
      <c r="B183" s="256">
        <v>92988</v>
      </c>
      <c r="C183" s="256" t="s">
        <v>31</v>
      </c>
      <c r="D183" s="257" t="s">
        <v>578</v>
      </c>
      <c r="E183" s="259">
        <v>210</v>
      </c>
      <c r="F183" s="105" t="s">
        <v>67</v>
      </c>
      <c r="G183" s="259">
        <v>26.72</v>
      </c>
      <c r="H183" s="259">
        <f t="shared" si="121"/>
        <v>34.659999999999997</v>
      </c>
      <c r="I183" s="264">
        <f t="shared" si="122"/>
        <v>7278.6</v>
      </c>
    </row>
    <row r="184" spans="1:9">
      <c r="A184" s="261" t="s">
        <v>572</v>
      </c>
      <c r="B184" s="256">
        <f>Composições!A67</f>
        <v>8</v>
      </c>
      <c r="C184" s="256" t="s">
        <v>389</v>
      </c>
      <c r="D184" s="257" t="str">
        <f>Composições!C67</f>
        <v>INSTALAÇÃO DE POSTE PADRÃO CPFL - CATEGORIA C6</v>
      </c>
      <c r="E184" s="259">
        <v>1</v>
      </c>
      <c r="F184" s="105" t="s">
        <v>282</v>
      </c>
      <c r="G184" s="259">
        <f>Composições!G67</f>
        <v>279.36</v>
      </c>
      <c r="H184" s="259">
        <f t="shared" si="121"/>
        <v>362.36</v>
      </c>
      <c r="I184" s="264">
        <f t="shared" si="122"/>
        <v>362.36</v>
      </c>
    </row>
    <row r="185" spans="1:9">
      <c r="A185" s="89">
        <v>15</v>
      </c>
      <c r="B185" s="62"/>
      <c r="C185" s="62"/>
      <c r="D185" s="58" t="s">
        <v>63</v>
      </c>
      <c r="E185" s="215"/>
      <c r="F185" s="62"/>
      <c r="G185" s="60"/>
      <c r="H185" s="60"/>
      <c r="I185" s="85">
        <f>SUBTOTAL(9,I186:I188)</f>
        <v>1769.45</v>
      </c>
    </row>
    <row r="186" spans="1:9">
      <c r="A186" s="238"/>
      <c r="B186" s="232"/>
      <c r="C186" s="232"/>
      <c r="D186" s="237" t="s">
        <v>64</v>
      </c>
      <c r="E186" s="235"/>
      <c r="F186" s="242"/>
      <c r="G186" s="235"/>
      <c r="H186" s="235"/>
      <c r="I186" s="241"/>
    </row>
    <row r="187" spans="1:9">
      <c r="A187" s="261" t="s">
        <v>19</v>
      </c>
      <c r="B187" s="256" t="s">
        <v>272</v>
      </c>
      <c r="C187" s="256" t="s">
        <v>69</v>
      </c>
      <c r="D187" s="257" t="s">
        <v>273</v>
      </c>
      <c r="E187" s="259">
        <v>54.68</v>
      </c>
      <c r="F187" s="105" t="s">
        <v>258</v>
      </c>
      <c r="G187" s="259">
        <f t="shared" ref="G187:G188" si="125">ROUND(H187*0.7029,2)</f>
        <v>5.74</v>
      </c>
      <c r="H187" s="259">
        <v>8.17</v>
      </c>
      <c r="I187" s="270">
        <f>ROUND((H187*E187),2)</f>
        <v>446.74</v>
      </c>
    </row>
    <row r="188" spans="1:9">
      <c r="A188" s="261" t="s">
        <v>20</v>
      </c>
      <c r="B188" s="256" t="s">
        <v>312</v>
      </c>
      <c r="C188" s="256" t="s">
        <v>69</v>
      </c>
      <c r="D188" s="263" t="s">
        <v>313</v>
      </c>
      <c r="E188" s="259">
        <v>54.68</v>
      </c>
      <c r="F188" s="105" t="s">
        <v>258</v>
      </c>
      <c r="G188" s="259">
        <f t="shared" si="125"/>
        <v>17</v>
      </c>
      <c r="H188" s="259">
        <v>24.19</v>
      </c>
      <c r="I188" s="270">
        <f>ROUND((H188*E188),2)</f>
        <v>1322.71</v>
      </c>
    </row>
    <row r="189" spans="1:9">
      <c r="A189" s="89">
        <v>16</v>
      </c>
      <c r="B189" s="62"/>
      <c r="C189" s="62"/>
      <c r="D189" s="58" t="s">
        <v>14</v>
      </c>
      <c r="E189" s="215"/>
      <c r="F189" s="62"/>
      <c r="G189" s="60"/>
      <c r="H189" s="60"/>
      <c r="I189" s="85">
        <f>SUBTOTAL(9,I190)</f>
        <v>3885.22</v>
      </c>
    </row>
    <row r="190" spans="1:9">
      <c r="A190" s="256" t="s">
        <v>125</v>
      </c>
      <c r="B190" s="256" t="s">
        <v>310</v>
      </c>
      <c r="C190" s="256" t="s">
        <v>69</v>
      </c>
      <c r="D190" s="257" t="s">
        <v>311</v>
      </c>
      <c r="E190" s="259">
        <v>270.37</v>
      </c>
      <c r="F190" s="105" t="s">
        <v>258</v>
      </c>
      <c r="G190" s="259">
        <f t="shared" ref="G190" si="126">ROUND(H190*0.7029,2)</f>
        <v>10.1</v>
      </c>
      <c r="H190" s="259">
        <v>14.37</v>
      </c>
      <c r="I190" s="290">
        <f>ROUND((H190*E190),2)</f>
        <v>3885.22</v>
      </c>
    </row>
    <row r="191" spans="1:9" ht="15.75">
      <c r="D191" s="47"/>
      <c r="F191" s="313" t="s">
        <v>623</v>
      </c>
      <c r="G191" s="313"/>
      <c r="H191" s="313"/>
      <c r="I191" s="252">
        <f>SUM(I12:I190)/2</f>
        <v>255222.29000000012</v>
      </c>
    </row>
    <row r="192" spans="1:9" ht="14.25">
      <c r="A192" s="294" t="s">
        <v>629</v>
      </c>
      <c r="B192" s="294"/>
      <c r="C192" s="294"/>
      <c r="D192" s="294"/>
    </row>
    <row r="193" spans="1:35">
      <c r="D193" s="47"/>
    </row>
    <row r="194" spans="1:35">
      <c r="A194" s="90"/>
      <c r="D194" s="47"/>
    </row>
    <row r="195" spans="1:35" ht="12.75" customHeight="1">
      <c r="D195" s="47"/>
    </row>
    <row r="196" spans="1:35" ht="12.75" customHeight="1">
      <c r="D196" s="80" t="s">
        <v>614</v>
      </c>
    </row>
    <row r="197" spans="1:35" ht="14.25">
      <c r="D197" s="223" t="s">
        <v>615</v>
      </c>
    </row>
    <row r="198" spans="1:35">
      <c r="D198" s="80" t="s">
        <v>616</v>
      </c>
    </row>
    <row r="199" spans="1:35">
      <c r="D199" s="80" t="s">
        <v>617</v>
      </c>
    </row>
    <row r="200" spans="1:35">
      <c r="D200" s="47"/>
      <c r="J200" s="44"/>
      <c r="K200" s="34"/>
      <c r="L200" s="21"/>
      <c r="M200" s="34"/>
      <c r="N200" s="21"/>
      <c r="O200" s="34"/>
      <c r="P200" s="21"/>
      <c r="Q200" s="34"/>
      <c r="R200" s="21"/>
      <c r="S200" s="34"/>
      <c r="T200" s="21"/>
      <c r="U200" s="34"/>
      <c r="V200" s="21"/>
      <c r="W200" s="34"/>
      <c r="X200" s="21"/>
      <c r="Y200" s="34"/>
      <c r="Z200" s="21"/>
      <c r="AA200" s="34"/>
      <c r="AB200" s="21"/>
      <c r="AC200" s="34"/>
      <c r="AD200" s="21"/>
      <c r="AE200" s="34"/>
      <c r="AF200" s="21"/>
      <c r="AG200" s="34"/>
      <c r="AH200" s="21"/>
      <c r="AI200" s="34"/>
    </row>
    <row r="201" spans="1:35">
      <c r="D201" s="47"/>
    </row>
    <row r="202" spans="1:35">
      <c r="D202" s="47"/>
      <c r="J202" s="44"/>
      <c r="K202" s="34"/>
      <c r="L202" s="21"/>
      <c r="M202" s="34"/>
      <c r="N202" s="21"/>
      <c r="O202" s="34"/>
      <c r="P202" s="21"/>
      <c r="Q202" s="34"/>
      <c r="R202" s="21"/>
      <c r="S202" s="34"/>
      <c r="T202" s="21"/>
      <c r="U202" s="34"/>
      <c r="V202" s="21"/>
      <c r="W202" s="34"/>
      <c r="X202" s="21"/>
      <c r="Y202" s="34"/>
      <c r="Z202" s="21"/>
      <c r="AA202" s="34"/>
      <c r="AB202" s="21"/>
      <c r="AC202" s="34"/>
      <c r="AD202" s="21"/>
      <c r="AE202" s="34"/>
      <c r="AF202" s="21"/>
      <c r="AG202" s="34"/>
      <c r="AH202" s="21"/>
      <c r="AI202" s="34"/>
    </row>
    <row r="203" spans="1:35">
      <c r="D203" s="47"/>
    </row>
    <row r="204" spans="1:35">
      <c r="D204" s="47"/>
    </row>
    <row r="207" spans="1:35">
      <c r="J207" s="44"/>
      <c r="K207" s="34"/>
      <c r="L207" s="21"/>
      <c r="M207" s="34"/>
      <c r="N207" s="21"/>
      <c r="O207" s="34"/>
      <c r="P207" s="21"/>
      <c r="Q207" s="34"/>
      <c r="R207" s="21"/>
      <c r="S207" s="34"/>
      <c r="T207" s="21"/>
      <c r="U207" s="34"/>
      <c r="V207" s="21"/>
      <c r="W207" s="34"/>
      <c r="X207" s="21"/>
      <c r="Y207" s="34"/>
      <c r="Z207" s="21"/>
      <c r="AA207" s="34"/>
      <c r="AB207" s="21"/>
      <c r="AC207" s="34"/>
      <c r="AD207" s="21"/>
      <c r="AE207" s="34"/>
      <c r="AF207" s="21"/>
      <c r="AG207" s="34"/>
      <c r="AH207" s="21"/>
      <c r="AI207" s="34"/>
    </row>
    <row r="208" spans="1:35" ht="12.75" customHeight="1"/>
    <row r="217" spans="10:35">
      <c r="J217" s="44"/>
      <c r="K217" s="34"/>
      <c r="L217" s="21"/>
      <c r="M217" s="34"/>
      <c r="N217" s="21"/>
      <c r="O217" s="34"/>
      <c r="P217" s="21"/>
      <c r="Q217" s="34"/>
      <c r="R217" s="21"/>
      <c r="S217" s="34"/>
      <c r="T217" s="21"/>
      <c r="U217" s="34"/>
      <c r="V217" s="21"/>
      <c r="W217" s="34"/>
      <c r="X217" s="21"/>
      <c r="Y217" s="34"/>
      <c r="Z217" s="21"/>
      <c r="AA217" s="34"/>
      <c r="AB217" s="21"/>
      <c r="AC217" s="34"/>
      <c r="AD217" s="21"/>
      <c r="AE217" s="34"/>
      <c r="AF217" s="21"/>
      <c r="AG217" s="34"/>
      <c r="AH217" s="21"/>
      <c r="AI217" s="34"/>
    </row>
    <row r="225" spans="10:35">
      <c r="J225" s="44"/>
      <c r="K225" s="34"/>
      <c r="L225" s="21"/>
      <c r="M225" s="34"/>
      <c r="N225" s="21"/>
      <c r="O225" s="34"/>
      <c r="P225" s="21"/>
      <c r="Q225" s="34"/>
      <c r="R225" s="21"/>
      <c r="S225" s="34"/>
      <c r="T225" s="21"/>
      <c r="U225" s="34"/>
      <c r="V225" s="21"/>
      <c r="W225" s="34"/>
      <c r="X225" s="21"/>
      <c r="Y225" s="34"/>
      <c r="Z225" s="21"/>
      <c r="AA225" s="34"/>
      <c r="AB225" s="21"/>
      <c r="AC225" s="34"/>
      <c r="AD225" s="21"/>
      <c r="AE225" s="34"/>
      <c r="AF225" s="21"/>
      <c r="AG225" s="34"/>
      <c r="AH225" s="21"/>
      <c r="AI225" s="34"/>
    </row>
    <row r="228" spans="10:35" ht="14.25" customHeight="1"/>
    <row r="230" spans="10:35">
      <c r="J230" s="44"/>
      <c r="K230" s="34"/>
      <c r="L230" s="21"/>
      <c r="M230" s="34"/>
      <c r="N230" s="21"/>
      <c r="O230" s="34"/>
      <c r="P230" s="21"/>
      <c r="Q230" s="34"/>
      <c r="R230" s="21"/>
      <c r="S230" s="34"/>
      <c r="T230" s="21"/>
      <c r="U230" s="34"/>
      <c r="V230" s="21"/>
      <c r="W230" s="34"/>
      <c r="X230" s="21"/>
      <c r="Y230" s="34"/>
      <c r="Z230" s="21"/>
      <c r="AA230" s="34"/>
      <c r="AB230" s="21"/>
      <c r="AC230" s="34"/>
      <c r="AD230" s="21"/>
      <c r="AE230" s="34"/>
      <c r="AF230" s="21"/>
      <c r="AG230" s="34"/>
      <c r="AH230" s="21"/>
      <c r="AI230" s="34"/>
    </row>
  </sheetData>
  <mergeCells count="22">
    <mergeCell ref="A192:D192"/>
    <mergeCell ref="A2:I5"/>
    <mergeCell ref="A7:B7"/>
    <mergeCell ref="A8:B8"/>
    <mergeCell ref="A9:B9"/>
    <mergeCell ref="C9:F9"/>
    <mergeCell ref="C7:F7"/>
    <mergeCell ref="C8:F8"/>
    <mergeCell ref="F191:H191"/>
    <mergeCell ref="AD7:AE7"/>
    <mergeCell ref="AF7:AG7"/>
    <mergeCell ref="AH7:AI7"/>
    <mergeCell ref="T7:U7"/>
    <mergeCell ref="V7:W7"/>
    <mergeCell ref="X7:Y7"/>
    <mergeCell ref="Z7:AA7"/>
    <mergeCell ref="AB7:AC7"/>
    <mergeCell ref="J7:K7"/>
    <mergeCell ref="L7:M7"/>
    <mergeCell ref="N7:O7"/>
    <mergeCell ref="P7:Q7"/>
    <mergeCell ref="R7:S7"/>
  </mergeCells>
  <conditionalFormatting sqref="E11 H11:AI11 H25:I25 H27:I27 I26 H29:I29 I28 I30:I37 I57:I60 I70:I71 H150:I152 I153 G153 H154:I154 H17 I14:I23 H21:H22 H135:H141 I134:I141 H176:H184 I172:I184 I101:I132 H102:H132 I62:I64">
    <cfRule type="cellIs" dxfId="43" priority="401" stopIfTrue="1" operator="equal">
      <formula>0</formula>
    </cfRule>
  </conditionalFormatting>
  <conditionalFormatting sqref="I89">
    <cfRule type="cellIs" dxfId="42" priority="124" stopIfTrue="1" operator="equal">
      <formula>0</formula>
    </cfRule>
  </conditionalFormatting>
  <conditionalFormatting sqref="G11">
    <cfRule type="cellIs" dxfId="41" priority="115" stopIfTrue="1" operator="equal">
      <formula>0</formula>
    </cfRule>
  </conditionalFormatting>
  <conditionalFormatting sqref="I186:I188">
    <cfRule type="cellIs" dxfId="40" priority="117" stopIfTrue="1" operator="equal">
      <formula>0</formula>
    </cfRule>
  </conditionalFormatting>
  <conditionalFormatting sqref="I190">
    <cfRule type="cellIs" dxfId="39" priority="116" stopIfTrue="1" operator="equal">
      <formula>0</formula>
    </cfRule>
  </conditionalFormatting>
  <conditionalFormatting sqref="I41:I52 I54">
    <cfRule type="cellIs" dxfId="38" priority="132" stopIfTrue="1" operator="equal">
      <formula>0</formula>
    </cfRule>
  </conditionalFormatting>
  <conditionalFormatting sqref="H62">
    <cfRule type="cellIs" dxfId="37" priority="107" stopIfTrue="1" operator="equal">
      <formula>0</formula>
    </cfRule>
  </conditionalFormatting>
  <conditionalFormatting sqref="I66:I67">
    <cfRule type="cellIs" dxfId="36" priority="130" stopIfTrue="1" operator="equal">
      <formula>0</formula>
    </cfRule>
  </conditionalFormatting>
  <conditionalFormatting sqref="I73:I79">
    <cfRule type="cellIs" dxfId="35" priority="127" stopIfTrue="1" operator="equal">
      <formula>0</formula>
    </cfRule>
  </conditionalFormatting>
  <conditionalFormatting sqref="I83:I85">
    <cfRule type="cellIs" dxfId="34" priority="126" stopIfTrue="1" operator="equal">
      <formula>0</formula>
    </cfRule>
  </conditionalFormatting>
  <conditionalFormatting sqref="I87">
    <cfRule type="cellIs" dxfId="33" priority="125" stopIfTrue="1" operator="equal">
      <formula>0</formula>
    </cfRule>
  </conditionalFormatting>
  <conditionalFormatting sqref="H186">
    <cfRule type="cellIs" dxfId="32" priority="93" stopIfTrue="1" operator="equal">
      <formula>0</formula>
    </cfRule>
  </conditionalFormatting>
  <conditionalFormatting sqref="H14:H15">
    <cfRule type="cellIs" dxfId="31" priority="114" stopIfTrue="1" operator="equal">
      <formula>0</formula>
    </cfRule>
  </conditionalFormatting>
  <conditionalFormatting sqref="H41 H46 H51 H54">
    <cfRule type="cellIs" dxfId="30" priority="109" stopIfTrue="1" operator="equal">
      <formula>0</formula>
    </cfRule>
  </conditionalFormatting>
  <conditionalFormatting sqref="H57 H60">
    <cfRule type="cellIs" dxfId="29" priority="108" stopIfTrue="1" operator="equal">
      <formula>0</formula>
    </cfRule>
  </conditionalFormatting>
  <conditionalFormatting sqref="H89">
    <cfRule type="cellIs" dxfId="28" priority="100" stopIfTrue="1" operator="equal">
      <formula>0</formula>
    </cfRule>
  </conditionalFormatting>
  <conditionalFormatting sqref="H101">
    <cfRule type="cellIs" dxfId="27" priority="99" stopIfTrue="1" operator="equal">
      <formula>0</formula>
    </cfRule>
  </conditionalFormatting>
  <conditionalFormatting sqref="H37">
    <cfRule type="cellIs" dxfId="26" priority="90" stopIfTrue="1" operator="equal">
      <formula>0</formula>
    </cfRule>
  </conditionalFormatting>
  <conditionalFormatting sqref="I90:I91 I93:I99">
    <cfRule type="cellIs" dxfId="25" priority="87" stopIfTrue="1" operator="equal">
      <formula>0</formula>
    </cfRule>
  </conditionalFormatting>
  <conditionalFormatting sqref="H19:H20">
    <cfRule type="cellIs" dxfId="24" priority="74" stopIfTrue="1" operator="equal">
      <formula>0</formula>
    </cfRule>
  </conditionalFormatting>
  <conditionalFormatting sqref="H23">
    <cfRule type="cellIs" dxfId="23" priority="78" stopIfTrue="1" operator="equal">
      <formula>0</formula>
    </cfRule>
  </conditionalFormatting>
  <conditionalFormatting sqref="H18">
    <cfRule type="cellIs" dxfId="22" priority="71" stopIfTrue="1" operator="equal">
      <formula>0</formula>
    </cfRule>
  </conditionalFormatting>
  <conditionalFormatting sqref="H26">
    <cfRule type="cellIs" dxfId="21" priority="70" stopIfTrue="1" operator="equal">
      <formula>0</formula>
    </cfRule>
  </conditionalFormatting>
  <conditionalFormatting sqref="H28">
    <cfRule type="cellIs" dxfId="20" priority="69" stopIfTrue="1" operator="equal">
      <formula>0</formula>
    </cfRule>
  </conditionalFormatting>
  <conditionalFormatting sqref="I38:I39">
    <cfRule type="cellIs" dxfId="19" priority="24" stopIfTrue="1" operator="equal">
      <formula>0</formula>
    </cfRule>
  </conditionalFormatting>
  <conditionalFormatting sqref="I53">
    <cfRule type="cellIs" dxfId="18" priority="22" stopIfTrue="1" operator="equal">
      <formula>0</formula>
    </cfRule>
  </conditionalFormatting>
  <conditionalFormatting sqref="H53">
    <cfRule type="cellIs" dxfId="17" priority="21" stopIfTrue="1" operator="equal">
      <formula>0</formula>
    </cfRule>
  </conditionalFormatting>
  <conditionalFormatting sqref="I55">
    <cfRule type="cellIs" dxfId="16" priority="20" stopIfTrue="1" operator="equal">
      <formula>0</formula>
    </cfRule>
  </conditionalFormatting>
  <conditionalFormatting sqref="H55">
    <cfRule type="cellIs" dxfId="15" priority="19" stopIfTrue="1" operator="equal">
      <formula>0</formula>
    </cfRule>
  </conditionalFormatting>
  <conditionalFormatting sqref="H153">
    <cfRule type="cellIs" dxfId="14" priority="18" stopIfTrue="1" operator="equal">
      <formula>0</formula>
    </cfRule>
  </conditionalFormatting>
  <conditionalFormatting sqref="I81">
    <cfRule type="cellIs" dxfId="13" priority="17" stopIfTrue="1" operator="equal">
      <formula>0</formula>
    </cfRule>
  </conditionalFormatting>
  <conditionalFormatting sqref="I92">
    <cfRule type="cellIs" dxfId="12" priority="16" stopIfTrue="1" operator="equal">
      <formula>0</formula>
    </cfRule>
  </conditionalFormatting>
  <conditionalFormatting sqref="H156:H159 H161 H163:H164 H172:H174">
    <cfRule type="cellIs" dxfId="11" priority="15" stopIfTrue="1" operator="equal">
      <formula>0</formula>
    </cfRule>
  </conditionalFormatting>
  <conditionalFormatting sqref="I156:I161">
    <cfRule type="cellIs" dxfId="10" priority="14" stopIfTrue="1" operator="equal">
      <formula>0</formula>
    </cfRule>
  </conditionalFormatting>
  <conditionalFormatting sqref="H160">
    <cfRule type="cellIs" dxfId="9" priority="13" stopIfTrue="1" operator="equal">
      <formula>0</formula>
    </cfRule>
  </conditionalFormatting>
  <conditionalFormatting sqref="H162:I162 I163:I164">
    <cfRule type="cellIs" dxfId="8" priority="12" stopIfTrue="1" operator="equal">
      <formula>0</formula>
    </cfRule>
  </conditionalFormatting>
  <conditionalFormatting sqref="H165:I165 H166 I166:I169">
    <cfRule type="cellIs" dxfId="7" priority="11" stopIfTrue="1" operator="equal">
      <formula>0</formula>
    </cfRule>
  </conditionalFormatting>
  <conditionalFormatting sqref="H170:I171">
    <cfRule type="cellIs" dxfId="6" priority="9" stopIfTrue="1" operator="equal">
      <formula>0</formula>
    </cfRule>
  </conditionalFormatting>
  <conditionalFormatting sqref="H168:H169">
    <cfRule type="cellIs" dxfId="5" priority="10" stopIfTrue="1" operator="equal">
      <formula>0</formula>
    </cfRule>
  </conditionalFormatting>
  <conditionalFormatting sqref="H175">
    <cfRule type="cellIs" dxfId="4" priority="8" stopIfTrue="1" operator="equal">
      <formula>0</formula>
    </cfRule>
  </conditionalFormatting>
  <conditionalFormatting sqref="H144:I148">
    <cfRule type="cellIs" dxfId="3" priority="5" stopIfTrue="1" operator="equal">
      <formula>0</formula>
    </cfRule>
  </conditionalFormatting>
  <conditionalFormatting sqref="I69">
    <cfRule type="cellIs" dxfId="2" priority="3" stopIfTrue="1" operator="equal">
      <formula>0</formula>
    </cfRule>
  </conditionalFormatting>
  <conditionalFormatting sqref="H69">
    <cfRule type="cellIs" dxfId="1" priority="2" stopIfTrue="1" operator="equal">
      <formula>0</formula>
    </cfRule>
  </conditionalFormatting>
  <conditionalFormatting sqref="H142:I143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31496062992125984" header="0.19685039370078741" footer="0.19685039370078741"/>
  <pageSetup paperSize="9" scale="67" fitToHeight="0" orientation="portrait" r:id="rId1"/>
  <headerFooter alignWithMargins="0">
    <oddHeader>&amp;L       &amp;G&amp;C&amp;"Arial,Negrito"&amp;16Prefeitura Municipal de Birigui&amp;"Arial,Normal"&amp;11
&amp;13CNPJ: 45.151.718/0001-80
&amp;8
&amp;14Secretaria de Obras
&amp;12(18) 3643-6170</oddHeader>
    <oddFooter>&amp;CPágina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L546"/>
  <sheetViews>
    <sheetView view="pageBreakPreview" topLeftCell="A433" zoomScale="130" zoomScaleNormal="100" zoomScaleSheetLayoutView="130" workbookViewId="0">
      <selection activeCell="G444" sqref="G444"/>
    </sheetView>
  </sheetViews>
  <sheetFormatPr defaultRowHeight="12.75" outlineLevelRow="1"/>
  <cols>
    <col min="1" max="1" width="7.75" style="11" customWidth="1"/>
    <col min="2" max="2" width="6.75" style="11" customWidth="1"/>
    <col min="3" max="3" width="48.875" style="12" customWidth="1"/>
    <col min="4" max="4" width="27.75" style="12" customWidth="1"/>
    <col min="5" max="5" width="3.375" style="10" customWidth="1"/>
    <col min="6" max="6" width="8.375" style="10" customWidth="1"/>
    <col min="7" max="7" width="8.75" style="10" customWidth="1"/>
    <col min="8" max="8" width="6.25" style="59" customWidth="1"/>
    <col min="9" max="16384" width="9" style="1"/>
  </cols>
  <sheetData>
    <row r="1" spans="1:12" ht="7.5" customHeight="1"/>
    <row r="2" spans="1:12" ht="12.75" customHeight="1">
      <c r="A2" s="295" t="s">
        <v>124</v>
      </c>
      <c r="B2" s="296"/>
      <c r="C2" s="296"/>
      <c r="D2" s="296"/>
      <c r="E2" s="296"/>
      <c r="F2" s="296"/>
      <c r="G2" s="296"/>
      <c r="H2" s="297"/>
    </row>
    <row r="3" spans="1:12" ht="12.75" customHeight="1">
      <c r="A3" s="298"/>
      <c r="B3" s="299"/>
      <c r="C3" s="299"/>
      <c r="D3" s="299"/>
      <c r="E3" s="299"/>
      <c r="F3" s="299"/>
      <c r="G3" s="299"/>
      <c r="H3" s="300"/>
    </row>
    <row r="4" spans="1:12" ht="12.75" customHeight="1">
      <c r="A4" s="298"/>
      <c r="B4" s="299"/>
      <c r="C4" s="299"/>
      <c r="D4" s="299"/>
      <c r="E4" s="299"/>
      <c r="F4" s="299"/>
      <c r="G4" s="299"/>
      <c r="H4" s="300"/>
    </row>
    <row r="5" spans="1:12" ht="4.5" customHeight="1">
      <c r="A5" s="301"/>
      <c r="B5" s="302"/>
      <c r="C5" s="302"/>
      <c r="D5" s="302"/>
      <c r="E5" s="302"/>
      <c r="F5" s="302"/>
      <c r="G5" s="302"/>
      <c r="H5" s="303"/>
    </row>
    <row r="6" spans="1:12" ht="14.25" customHeight="1">
      <c r="A6" s="2"/>
      <c r="B6" s="2"/>
      <c r="C6" s="3"/>
      <c r="D6" s="3"/>
      <c r="E6" s="4"/>
      <c r="F6" s="4"/>
      <c r="G6" s="4"/>
      <c r="H6" s="14"/>
    </row>
    <row r="7" spans="1:12" s="25" customFormat="1" ht="14.25" customHeight="1">
      <c r="A7" s="339" t="s">
        <v>72</v>
      </c>
      <c r="B7" s="311"/>
      <c r="C7" s="311" t="str">
        <f>Planilha!C7:F7</f>
        <v>PREFEITURA MUNICIPAL DE BIRIGUI</v>
      </c>
      <c r="D7" s="311"/>
      <c r="E7" s="311"/>
      <c r="F7" s="311"/>
      <c r="G7" s="311"/>
      <c r="H7" s="340"/>
    </row>
    <row r="8" spans="1:12" s="25" customFormat="1" ht="15" customHeight="1">
      <c r="A8" s="337" t="s">
        <v>74</v>
      </c>
      <c r="B8" s="312"/>
      <c r="C8" s="312" t="str">
        <f>Planilha!C8:F8</f>
        <v>AMPLIAÇÃO DA C.E.I. BELLA CLARK</v>
      </c>
      <c r="D8" s="312"/>
      <c r="E8" s="312"/>
      <c r="F8" s="312"/>
      <c r="G8" s="312"/>
      <c r="H8" s="338"/>
      <c r="L8" s="25" t="s">
        <v>202</v>
      </c>
    </row>
    <row r="9" spans="1:12" s="25" customFormat="1" ht="12.75" customHeight="1">
      <c r="A9" s="341" t="s">
        <v>75</v>
      </c>
      <c r="B9" s="342"/>
      <c r="C9" s="310">
        <f>Planilha!C9:F9</f>
        <v>0</v>
      </c>
      <c r="D9" s="310"/>
      <c r="E9" s="310"/>
      <c r="F9" s="310"/>
      <c r="G9" s="310"/>
      <c r="H9" s="343"/>
    </row>
    <row r="11" spans="1:12" s="25" customFormat="1" ht="23.25" customHeight="1">
      <c r="A11" s="54" t="str">
        <f>Planilha!A11</f>
        <v>ITEM</v>
      </c>
      <c r="B11" s="344" t="str">
        <f>Planilha!D11</f>
        <v>DESCRIÇÃO DOS SERVIÇOS</v>
      </c>
      <c r="C11" s="345"/>
      <c r="D11" s="345"/>
      <c r="E11" s="345"/>
      <c r="F11" s="345"/>
      <c r="G11" s="345"/>
      <c r="H11" s="345"/>
    </row>
    <row r="12" spans="1:12" ht="5.25" customHeight="1">
      <c r="C12" s="47"/>
      <c r="D12" s="47"/>
      <c r="E12" s="80"/>
      <c r="F12" s="80"/>
    </row>
    <row r="13" spans="1:12" s="25" customFormat="1" ht="14.25" customHeight="1">
      <c r="A13" s="71">
        <f>Planilha!A12</f>
        <v>1</v>
      </c>
      <c r="B13" s="328" t="str">
        <f>Planilha!D12</f>
        <v xml:space="preserve">SERVIÇOS PRELIMINARES </v>
      </c>
      <c r="C13" s="328"/>
      <c r="D13" s="328"/>
      <c r="E13" s="328"/>
      <c r="F13" s="328"/>
      <c r="G13" s="328"/>
      <c r="H13" s="328"/>
    </row>
    <row r="14" spans="1:12" ht="5.25" customHeight="1">
      <c r="C14" s="47"/>
      <c r="D14" s="47"/>
      <c r="E14" s="80"/>
      <c r="F14" s="80"/>
    </row>
    <row r="15" spans="1:12" ht="14.25" customHeight="1" outlineLevel="1">
      <c r="A15" s="70" t="str">
        <f>Planilha!A14</f>
        <v>1.1</v>
      </c>
      <c r="B15" s="319" t="str">
        <f>Planilha!D14</f>
        <v>PLACA DE OBRA EM CHAPA DE ACO GALVANIZADO</v>
      </c>
      <c r="C15" s="319"/>
      <c r="D15" s="319"/>
      <c r="E15" s="319"/>
      <c r="F15" s="319"/>
      <c r="G15" s="319"/>
      <c r="H15" s="320"/>
    </row>
    <row r="16" spans="1:12" ht="14.25" customHeight="1" outlineLevel="1">
      <c r="A16" s="72"/>
      <c r="B16" s="318" t="s">
        <v>129</v>
      </c>
      <c r="C16" s="318"/>
      <c r="D16" s="318"/>
      <c r="E16" s="314">
        <v>3</v>
      </c>
      <c r="F16" s="314"/>
      <c r="G16" s="315" t="s">
        <v>39</v>
      </c>
      <c r="H16" s="316"/>
    </row>
    <row r="17" spans="1:8" ht="14.25" customHeight="1" outlineLevel="1">
      <c r="A17" s="72"/>
      <c r="B17" s="318" t="s">
        <v>130</v>
      </c>
      <c r="C17" s="318"/>
      <c r="D17" s="318"/>
      <c r="E17" s="314">
        <v>1.5</v>
      </c>
      <c r="F17" s="314"/>
      <c r="G17" s="315" t="s">
        <v>39</v>
      </c>
      <c r="H17" s="316"/>
    </row>
    <row r="18" spans="1:8" ht="14.25" customHeight="1" outlineLevel="1">
      <c r="A18" s="65" t="str">
        <f>$L$8</f>
        <v>Conta</v>
      </c>
      <c r="B18" s="317" t="s">
        <v>131</v>
      </c>
      <c r="C18" s="317"/>
      <c r="D18" s="317"/>
      <c r="E18" s="324" t="s">
        <v>123</v>
      </c>
      <c r="F18" s="324"/>
      <c r="G18" s="68">
        <f>ROUND(3*1.5,2)</f>
        <v>4.5</v>
      </c>
      <c r="H18" s="69" t="str">
        <f>Planilha!F14</f>
        <v xml:space="preserve"> M²</v>
      </c>
    </row>
    <row r="19" spans="1:8" ht="5.25" customHeight="1">
      <c r="C19" s="47"/>
      <c r="D19" s="47"/>
      <c r="E19" s="80"/>
      <c r="F19" s="80"/>
    </row>
    <row r="20" spans="1:8" ht="14.25" customHeight="1" outlineLevel="1">
      <c r="A20" s="70" t="str">
        <f>Planilha!A16</f>
        <v>1.2</v>
      </c>
      <c r="B20" s="319" t="str">
        <f>Planilha!D16</f>
        <v>DEMOLICAO PISO DE CONCRETO SIMPLES CAPEADO</v>
      </c>
      <c r="C20" s="319"/>
      <c r="D20" s="319"/>
      <c r="E20" s="319"/>
      <c r="F20" s="319"/>
      <c r="G20" s="319"/>
      <c r="H20" s="320"/>
    </row>
    <row r="21" spans="1:8" ht="14.25" customHeight="1" outlineLevel="1">
      <c r="A21" s="72"/>
      <c r="B21" s="318" t="s">
        <v>132</v>
      </c>
      <c r="C21" s="318"/>
      <c r="D21" s="318"/>
      <c r="E21" s="314">
        <v>140.07</v>
      </c>
      <c r="F21" s="314"/>
      <c r="G21" s="315" t="s">
        <v>32</v>
      </c>
      <c r="H21" s="316"/>
    </row>
    <row r="22" spans="1:8" ht="14.25" customHeight="1" outlineLevel="1">
      <c r="A22" s="65" t="str">
        <f>$L$8</f>
        <v>Conta</v>
      </c>
      <c r="B22" s="317"/>
      <c r="C22" s="317"/>
      <c r="D22" s="317"/>
      <c r="E22" s="324" t="s">
        <v>123</v>
      </c>
      <c r="F22" s="324"/>
      <c r="G22" s="68">
        <v>140.07</v>
      </c>
      <c r="H22" s="69" t="str">
        <f>Planilha!F16</f>
        <v>M³</v>
      </c>
    </row>
    <row r="23" spans="1:8" ht="5.25" customHeight="1">
      <c r="C23" s="47"/>
      <c r="D23" s="47"/>
      <c r="E23" s="80"/>
      <c r="F23" s="80"/>
    </row>
    <row r="24" spans="1:8" s="25" customFormat="1" ht="14.25" customHeight="1">
      <c r="A24" s="71">
        <f>Planilha!A24</f>
        <v>2</v>
      </c>
      <c r="B24" s="328" t="str">
        <f>Planilha!D24</f>
        <v>FUNDAÇÃO</v>
      </c>
      <c r="C24" s="328"/>
      <c r="D24" s="328"/>
      <c r="E24" s="328"/>
      <c r="F24" s="328"/>
      <c r="G24" s="328"/>
      <c r="H24" s="328"/>
    </row>
    <row r="25" spans="1:8" ht="5.25" customHeight="1">
      <c r="C25" s="47"/>
      <c r="D25" s="47"/>
      <c r="E25" s="80"/>
      <c r="F25" s="80"/>
    </row>
    <row r="26" spans="1:8" s="25" customFormat="1" ht="14.25" customHeight="1">
      <c r="A26" s="71">
        <f>Planilha!A25</f>
        <v>0</v>
      </c>
      <c r="B26" s="328" t="str">
        <f>Planilha!D25</f>
        <v>ESTACAS</v>
      </c>
      <c r="C26" s="328"/>
      <c r="D26" s="328"/>
      <c r="E26" s="328"/>
      <c r="F26" s="328"/>
      <c r="G26" s="328"/>
      <c r="H26" s="328"/>
    </row>
    <row r="27" spans="1:8" ht="5.25" customHeight="1">
      <c r="C27" s="47"/>
      <c r="D27" s="47"/>
      <c r="E27" s="80"/>
      <c r="F27" s="80"/>
    </row>
    <row r="28" spans="1:8" outlineLevel="1">
      <c r="A28" s="73" t="e">
        <f>Planilha!#REF!</f>
        <v>#REF!</v>
      </c>
      <c r="B28" s="319" t="e">
        <f>Planilha!#REF!</f>
        <v>#REF!</v>
      </c>
      <c r="C28" s="319"/>
      <c r="D28" s="319"/>
      <c r="E28" s="319"/>
      <c r="F28" s="319"/>
      <c r="G28" s="319"/>
      <c r="H28" s="320"/>
    </row>
    <row r="29" spans="1:8" ht="14.25" customHeight="1" outlineLevel="1">
      <c r="A29" s="72"/>
      <c r="B29" s="346" t="s">
        <v>244</v>
      </c>
      <c r="C29" s="346"/>
      <c r="D29" s="346"/>
      <c r="E29" s="314"/>
      <c r="F29" s="314"/>
      <c r="G29" s="315"/>
      <c r="H29" s="316"/>
    </row>
    <row r="30" spans="1:8" ht="14.25" customHeight="1" outlineLevel="1">
      <c r="A30" s="72"/>
      <c r="B30" s="318" t="s">
        <v>135</v>
      </c>
      <c r="C30" s="318"/>
      <c r="D30" s="318"/>
      <c r="E30" s="314">
        <v>2.2999999999999998</v>
      </c>
      <c r="F30" s="314"/>
      <c r="G30" s="315" t="s">
        <v>39</v>
      </c>
      <c r="H30" s="316"/>
    </row>
    <row r="31" spans="1:8" ht="14.25" customHeight="1" outlineLevel="1">
      <c r="A31" s="72"/>
      <c r="B31" s="318" t="s">
        <v>134</v>
      </c>
      <c r="C31" s="318"/>
      <c r="D31" s="318"/>
      <c r="E31" s="314">
        <v>4</v>
      </c>
      <c r="F31" s="314"/>
      <c r="G31" s="315" t="s">
        <v>133</v>
      </c>
      <c r="H31" s="316"/>
    </row>
    <row r="32" spans="1:8" ht="14.25" customHeight="1" outlineLevel="1">
      <c r="A32" s="72"/>
      <c r="B32" s="318" t="s">
        <v>136</v>
      </c>
      <c r="C32" s="318"/>
      <c r="D32" s="318"/>
      <c r="E32" s="314">
        <v>13</v>
      </c>
      <c r="F32" s="314"/>
      <c r="G32" s="315" t="s">
        <v>133</v>
      </c>
      <c r="H32" s="316"/>
    </row>
    <row r="33" spans="1:8" ht="14.25" customHeight="1" outlineLevel="1">
      <c r="A33" s="72"/>
      <c r="B33" s="318" t="s">
        <v>204</v>
      </c>
      <c r="C33" s="318"/>
      <c r="D33" s="318"/>
      <c r="E33" s="314">
        <v>0.61699999999999999</v>
      </c>
      <c r="F33" s="314"/>
      <c r="G33" s="315" t="s">
        <v>137</v>
      </c>
      <c r="H33" s="316"/>
    </row>
    <row r="34" spans="1:8" ht="14.25" customHeight="1" outlineLevel="1">
      <c r="A34" s="72"/>
      <c r="B34" s="346" t="s">
        <v>245</v>
      </c>
      <c r="C34" s="346"/>
      <c r="D34" s="346"/>
      <c r="E34" s="314"/>
      <c r="F34" s="314"/>
      <c r="G34" s="315"/>
      <c r="H34" s="316"/>
    </row>
    <row r="35" spans="1:8" ht="14.25" customHeight="1" outlineLevel="1">
      <c r="A35" s="72"/>
      <c r="B35" s="318" t="s">
        <v>135</v>
      </c>
      <c r="C35" s="318"/>
      <c r="D35" s="318"/>
      <c r="E35" s="314">
        <v>3</v>
      </c>
      <c r="F35" s="314"/>
      <c r="G35" s="315" t="s">
        <v>39</v>
      </c>
      <c r="H35" s="316"/>
    </row>
    <row r="36" spans="1:8" ht="14.25" customHeight="1" outlineLevel="1">
      <c r="A36" s="72"/>
      <c r="B36" s="318" t="s">
        <v>134</v>
      </c>
      <c r="C36" s="318"/>
      <c r="D36" s="318"/>
      <c r="E36" s="314">
        <v>4</v>
      </c>
      <c r="F36" s="314"/>
      <c r="G36" s="315" t="s">
        <v>133</v>
      </c>
      <c r="H36" s="316"/>
    </row>
    <row r="37" spans="1:8" ht="14.25" customHeight="1" outlineLevel="1">
      <c r="A37" s="72"/>
      <c r="B37" s="318" t="s">
        <v>136</v>
      </c>
      <c r="C37" s="318"/>
      <c r="D37" s="318"/>
      <c r="E37" s="314">
        <v>14</v>
      </c>
      <c r="F37" s="314"/>
      <c r="G37" s="315" t="s">
        <v>133</v>
      </c>
      <c r="H37" s="316"/>
    </row>
    <row r="38" spans="1:8" ht="14.25" customHeight="1" outlineLevel="1">
      <c r="A38" s="72"/>
      <c r="B38" s="318" t="s">
        <v>204</v>
      </c>
      <c r="C38" s="318"/>
      <c r="D38" s="318"/>
      <c r="E38" s="314">
        <v>0.61699999999999999</v>
      </c>
      <c r="F38" s="314"/>
      <c r="G38" s="315" t="s">
        <v>137</v>
      </c>
      <c r="H38" s="316"/>
    </row>
    <row r="39" spans="1:8" ht="14.25" customHeight="1" outlineLevel="1">
      <c r="A39" s="65" t="str">
        <f>$L$8</f>
        <v>Conta</v>
      </c>
      <c r="B39" s="317" t="s">
        <v>246</v>
      </c>
      <c r="C39" s="317"/>
      <c r="D39" s="317"/>
      <c r="E39" s="324" t="s">
        <v>123</v>
      </c>
      <c r="F39" s="324"/>
      <c r="G39" s="68">
        <f>ROUND((2.3*4*13*0.617)+(3*4*14*0.617),2)</f>
        <v>177.45</v>
      </c>
      <c r="H39" s="69" t="e">
        <f>Planilha!#REF!</f>
        <v>#REF!</v>
      </c>
    </row>
    <row r="40" spans="1:8" ht="5.25" customHeight="1">
      <c r="C40" s="47"/>
      <c r="D40" s="47"/>
      <c r="E40" s="80"/>
      <c r="F40" s="80"/>
    </row>
    <row r="41" spans="1:8" outlineLevel="1">
      <c r="A41" s="73" t="e">
        <f>Planilha!#REF!</f>
        <v>#REF!</v>
      </c>
      <c r="B41" s="319" t="e">
        <f>Planilha!#REF!</f>
        <v>#REF!</v>
      </c>
      <c r="C41" s="319"/>
      <c r="D41" s="319"/>
      <c r="E41" s="319"/>
      <c r="F41" s="319"/>
      <c r="G41" s="319"/>
      <c r="H41" s="320"/>
    </row>
    <row r="42" spans="1:8" ht="14.25" customHeight="1" outlineLevel="1">
      <c r="A42" s="72"/>
      <c r="B42" s="323" t="s">
        <v>138</v>
      </c>
      <c r="C42" s="323"/>
      <c r="D42" s="323"/>
      <c r="E42" s="314">
        <v>0.52</v>
      </c>
      <c r="F42" s="314"/>
      <c r="G42" s="315" t="s">
        <v>39</v>
      </c>
      <c r="H42" s="316"/>
    </row>
    <row r="43" spans="1:8" ht="14.25" customHeight="1" outlineLevel="1">
      <c r="A43" s="72"/>
      <c r="B43" s="323" t="s">
        <v>139</v>
      </c>
      <c r="C43" s="323"/>
      <c r="D43" s="323"/>
      <c r="E43" s="314">
        <v>13</v>
      </c>
      <c r="F43" s="314"/>
      <c r="G43" s="315" t="s">
        <v>133</v>
      </c>
      <c r="H43" s="316"/>
    </row>
    <row r="44" spans="1:8" ht="14.25" customHeight="1" outlineLevel="1">
      <c r="A44" s="72"/>
      <c r="B44" s="323" t="s">
        <v>136</v>
      </c>
      <c r="C44" s="323"/>
      <c r="D44" s="323"/>
      <c r="E44" s="314">
        <v>27</v>
      </c>
      <c r="F44" s="314"/>
      <c r="G44" s="315" t="s">
        <v>133</v>
      </c>
      <c r="H44" s="316"/>
    </row>
    <row r="45" spans="1:8" ht="14.25" customHeight="1" outlineLevel="1">
      <c r="A45" s="72"/>
      <c r="B45" s="323" t="s">
        <v>143</v>
      </c>
      <c r="C45" s="323"/>
      <c r="D45" s="323"/>
      <c r="E45" s="314">
        <v>0.109</v>
      </c>
      <c r="F45" s="314"/>
      <c r="G45" s="315" t="s">
        <v>137</v>
      </c>
      <c r="H45" s="316"/>
    </row>
    <row r="46" spans="1:8" ht="14.25" customHeight="1" outlineLevel="1">
      <c r="A46" s="65" t="str">
        <f>$L$8</f>
        <v>Conta</v>
      </c>
      <c r="B46" s="317" t="s">
        <v>247</v>
      </c>
      <c r="C46" s="317"/>
      <c r="D46" s="317"/>
      <c r="E46" s="324" t="s">
        <v>123</v>
      </c>
      <c r="F46" s="324"/>
      <c r="G46" s="68">
        <f>ROUND(0.52*13*27*0.109,2)</f>
        <v>19.89</v>
      </c>
      <c r="H46" s="69" t="e">
        <f>Planilha!#REF!</f>
        <v>#REF!</v>
      </c>
    </row>
    <row r="47" spans="1:8" ht="5.25" customHeight="1">
      <c r="C47" s="47"/>
      <c r="D47" s="47"/>
      <c r="E47" s="80"/>
      <c r="F47" s="80"/>
    </row>
    <row r="48" spans="1:8" outlineLevel="1">
      <c r="A48" s="73" t="str">
        <f>Planilha!A26</f>
        <v>2.1</v>
      </c>
      <c r="B48" s="319" t="str">
        <f>Planilha!D26</f>
        <v>ESTACA ESCAVADA MECANICAMENTE DIAM 25CM</v>
      </c>
      <c r="C48" s="319"/>
      <c r="D48" s="319"/>
      <c r="E48" s="319"/>
      <c r="F48" s="319"/>
      <c r="G48" s="319"/>
      <c r="H48" s="320"/>
    </row>
    <row r="49" spans="1:8" ht="14.25" customHeight="1" outlineLevel="1">
      <c r="A49" s="72"/>
      <c r="B49" s="318" t="s">
        <v>136</v>
      </c>
      <c r="C49" s="318"/>
      <c r="D49" s="318"/>
      <c r="E49" s="314">
        <v>27</v>
      </c>
      <c r="F49" s="314"/>
      <c r="G49" s="315" t="s">
        <v>133</v>
      </c>
      <c r="H49" s="316"/>
    </row>
    <row r="50" spans="1:8" ht="14.25" customHeight="1" outlineLevel="1">
      <c r="A50" s="72"/>
      <c r="B50" s="318" t="s">
        <v>140</v>
      </c>
      <c r="C50" s="318"/>
      <c r="D50" s="318"/>
      <c r="E50" s="314">
        <v>4</v>
      </c>
      <c r="F50" s="314"/>
      <c r="G50" s="315" t="s">
        <v>39</v>
      </c>
      <c r="H50" s="316"/>
    </row>
    <row r="51" spans="1:8" ht="14.25" customHeight="1" outlineLevel="1">
      <c r="A51" s="65" t="str">
        <f>$L$8</f>
        <v>Conta</v>
      </c>
      <c r="B51" s="317" t="s">
        <v>248</v>
      </c>
      <c r="C51" s="317"/>
      <c r="D51" s="317"/>
      <c r="E51" s="324" t="s">
        <v>123</v>
      </c>
      <c r="F51" s="324"/>
      <c r="G51" s="68">
        <f>ROUND(24*4,2)</f>
        <v>96</v>
      </c>
      <c r="H51" s="69" t="str">
        <f>Planilha!F26</f>
        <v>M</v>
      </c>
    </row>
    <row r="52" spans="1:8" ht="5.25" customHeight="1">
      <c r="C52" s="47"/>
      <c r="D52" s="47"/>
      <c r="E52" s="80"/>
      <c r="F52" s="80"/>
    </row>
    <row r="53" spans="1:8" s="25" customFormat="1" ht="14.25" customHeight="1">
      <c r="A53" s="71">
        <f>Planilha!A27</f>
        <v>0</v>
      </c>
      <c r="B53" s="328" t="str">
        <f>Planilha!D27</f>
        <v>ARRANQUE DE PILARES</v>
      </c>
      <c r="C53" s="328"/>
      <c r="D53" s="328"/>
      <c r="E53" s="328"/>
      <c r="F53" s="328"/>
      <c r="G53" s="328"/>
      <c r="H53" s="328"/>
    </row>
    <row r="54" spans="1:8" ht="5.25" customHeight="1">
      <c r="C54" s="47"/>
      <c r="D54" s="47"/>
      <c r="E54" s="80"/>
      <c r="F54" s="80"/>
    </row>
    <row r="55" spans="1:8" outlineLevel="1">
      <c r="A55" s="73" t="str">
        <f>Planilha!A28</f>
        <v>2.2</v>
      </c>
      <c r="B55" s="319" t="str">
        <f>Planilha!D28</f>
        <v>ACO CA 50 (A OU B) FYK= 500 M PA</v>
      </c>
      <c r="C55" s="319"/>
      <c r="D55" s="319"/>
      <c r="E55" s="319"/>
      <c r="F55" s="319"/>
      <c r="G55" s="319"/>
      <c r="H55" s="320"/>
    </row>
    <row r="56" spans="1:8" ht="14.25" customHeight="1" outlineLevel="1">
      <c r="A56" s="72"/>
      <c r="B56" s="323" t="s">
        <v>249</v>
      </c>
      <c r="C56" s="323"/>
      <c r="D56" s="323"/>
      <c r="E56" s="314">
        <v>1.2</v>
      </c>
      <c r="F56" s="314"/>
      <c r="G56" s="315" t="s">
        <v>39</v>
      </c>
      <c r="H56" s="316"/>
    </row>
    <row r="57" spans="1:8" ht="14.25" customHeight="1" outlineLevel="1">
      <c r="A57" s="72"/>
      <c r="B57" s="318" t="s">
        <v>142</v>
      </c>
      <c r="C57" s="318"/>
      <c r="D57" s="318"/>
      <c r="E57" s="314">
        <v>4</v>
      </c>
      <c r="F57" s="314"/>
      <c r="G57" s="315" t="s">
        <v>133</v>
      </c>
      <c r="H57" s="316"/>
    </row>
    <row r="58" spans="1:8" ht="14.25" customHeight="1" outlineLevel="1">
      <c r="A58" s="72"/>
      <c r="B58" s="318" t="s">
        <v>141</v>
      </c>
      <c r="C58" s="318"/>
      <c r="D58" s="318"/>
      <c r="E58" s="314">
        <v>14</v>
      </c>
      <c r="F58" s="314"/>
      <c r="G58" s="315" t="s">
        <v>133</v>
      </c>
      <c r="H58" s="316"/>
    </row>
    <row r="59" spans="1:8" ht="14.25" customHeight="1" outlineLevel="1">
      <c r="A59" s="72"/>
      <c r="B59" s="323" t="s">
        <v>143</v>
      </c>
      <c r="C59" s="323"/>
      <c r="D59" s="323"/>
      <c r="E59" s="314">
        <v>0.109</v>
      </c>
      <c r="F59" s="314"/>
      <c r="G59" s="315" t="s">
        <v>137</v>
      </c>
      <c r="H59" s="316"/>
    </row>
    <row r="60" spans="1:8" ht="14.25" customHeight="1" outlineLevel="1">
      <c r="A60" s="65" t="str">
        <f>$L$8</f>
        <v>Conta</v>
      </c>
      <c r="B60" s="317" t="s">
        <v>250</v>
      </c>
      <c r="C60" s="317"/>
      <c r="D60" s="317"/>
      <c r="E60" s="324" t="s">
        <v>123</v>
      </c>
      <c r="F60" s="324"/>
      <c r="G60" s="68">
        <f>ROUND(1.2*4*14*0.109,2)</f>
        <v>7.32</v>
      </c>
      <c r="H60" s="69" t="str">
        <f>Planilha!F28</f>
        <v>kg</v>
      </c>
    </row>
    <row r="61" spans="1:8" ht="5.25" customHeight="1">
      <c r="C61" s="47"/>
      <c r="D61" s="47"/>
      <c r="E61" s="80"/>
      <c r="F61" s="80"/>
    </row>
    <row r="62" spans="1:8" s="25" customFormat="1" ht="14.25" customHeight="1">
      <c r="A62" s="71">
        <f>Planilha!A29</f>
        <v>0</v>
      </c>
      <c r="B62" s="328" t="str">
        <f>Planilha!D29</f>
        <v>VIGAS BALDRAMES E BLOCOS</v>
      </c>
      <c r="C62" s="328"/>
      <c r="D62" s="328"/>
      <c r="E62" s="328"/>
      <c r="F62" s="328"/>
      <c r="G62" s="328"/>
      <c r="H62" s="328"/>
    </row>
    <row r="63" spans="1:8" ht="5.25" customHeight="1">
      <c r="C63" s="47"/>
      <c r="D63" s="47"/>
      <c r="E63" s="80"/>
      <c r="F63" s="80"/>
    </row>
    <row r="64" spans="1:8" outlineLevel="1">
      <c r="A64" s="73" t="str">
        <f>Planilha!A30</f>
        <v>2.3</v>
      </c>
      <c r="B64" s="319" t="str">
        <f>Planilha!D30</f>
        <v>ESCAVACAO MANUAL - PROFUNDIDADE ATE 1.80 M</v>
      </c>
      <c r="C64" s="319"/>
      <c r="D64" s="319"/>
      <c r="E64" s="319"/>
      <c r="F64" s="319"/>
      <c r="G64" s="319"/>
      <c r="H64" s="320"/>
    </row>
    <row r="65" spans="1:8" ht="14.25" customHeight="1" outlineLevel="1">
      <c r="A65" s="72"/>
      <c r="B65" s="318" t="s">
        <v>144</v>
      </c>
      <c r="C65" s="318"/>
      <c r="D65" s="318"/>
      <c r="E65" s="314">
        <v>84.72</v>
      </c>
      <c r="F65" s="314"/>
      <c r="G65" s="315" t="s">
        <v>39</v>
      </c>
      <c r="H65" s="316"/>
    </row>
    <row r="66" spans="1:8" ht="14.25" customHeight="1" outlineLevel="1">
      <c r="A66" s="72"/>
      <c r="B66" s="318" t="s">
        <v>130</v>
      </c>
      <c r="C66" s="318"/>
      <c r="D66" s="318"/>
      <c r="E66" s="314">
        <v>0.4</v>
      </c>
      <c r="F66" s="314"/>
      <c r="G66" s="315" t="s">
        <v>39</v>
      </c>
      <c r="H66" s="316"/>
    </row>
    <row r="67" spans="1:8" ht="14.25" customHeight="1" outlineLevel="1">
      <c r="A67" s="72"/>
      <c r="B67" s="318" t="s">
        <v>129</v>
      </c>
      <c r="C67" s="318"/>
      <c r="D67" s="318"/>
      <c r="E67" s="314">
        <v>0.3</v>
      </c>
      <c r="F67" s="314"/>
      <c r="G67" s="315" t="s">
        <v>39</v>
      </c>
      <c r="H67" s="316"/>
    </row>
    <row r="68" spans="1:8" ht="14.25" customHeight="1" outlineLevel="1">
      <c r="A68" s="65" t="str">
        <f>$L$8</f>
        <v>Conta</v>
      </c>
      <c r="B68" s="317" t="s">
        <v>205</v>
      </c>
      <c r="C68" s="317"/>
      <c r="D68" s="317"/>
      <c r="E68" s="324" t="s">
        <v>123</v>
      </c>
      <c r="F68" s="324"/>
      <c r="G68" s="68">
        <f>ROUND(84.72*0.4*0.3,2)</f>
        <v>10.17</v>
      </c>
      <c r="H68" s="69" t="str">
        <f>Planilha!F30</f>
        <v>M³</v>
      </c>
    </row>
    <row r="69" spans="1:8" ht="5.25" customHeight="1">
      <c r="C69" s="47"/>
      <c r="D69" s="47"/>
      <c r="E69" s="80"/>
      <c r="F69" s="80"/>
    </row>
    <row r="70" spans="1:8" outlineLevel="1">
      <c r="A70" s="73" t="str">
        <f>Planilha!A31</f>
        <v>2.4</v>
      </c>
      <c r="B70" s="319" t="str">
        <f>Planilha!D31</f>
        <v>LASTRO DE PEDRA BRITADA - 5CM</v>
      </c>
      <c r="C70" s="319"/>
      <c r="D70" s="319"/>
      <c r="E70" s="319"/>
      <c r="F70" s="319"/>
      <c r="G70" s="319"/>
      <c r="H70" s="320"/>
    </row>
    <row r="71" spans="1:8" ht="14.25" customHeight="1" outlineLevel="1">
      <c r="A71" s="72"/>
      <c r="B71" s="318" t="s">
        <v>144</v>
      </c>
      <c r="C71" s="318"/>
      <c r="D71" s="318"/>
      <c r="E71" s="314">
        <v>84.72</v>
      </c>
      <c r="F71" s="314"/>
      <c r="G71" s="315" t="s">
        <v>39</v>
      </c>
      <c r="H71" s="316"/>
    </row>
    <row r="72" spans="1:8" ht="14.25" customHeight="1" outlineLevel="1">
      <c r="A72" s="72"/>
      <c r="B72" s="318" t="s">
        <v>147</v>
      </c>
      <c r="C72" s="318"/>
      <c r="D72" s="318"/>
      <c r="E72" s="314">
        <v>0.05</v>
      </c>
      <c r="F72" s="314"/>
      <c r="G72" s="315" t="s">
        <v>39</v>
      </c>
      <c r="H72" s="316"/>
    </row>
    <row r="73" spans="1:8" ht="14.25" customHeight="1" outlineLevel="1">
      <c r="A73" s="72"/>
      <c r="B73" s="318" t="s">
        <v>129</v>
      </c>
      <c r="C73" s="318"/>
      <c r="D73" s="318"/>
      <c r="E73" s="314">
        <v>0.3</v>
      </c>
      <c r="F73" s="314"/>
      <c r="G73" s="315" t="s">
        <v>39</v>
      </c>
      <c r="H73" s="316"/>
    </row>
    <row r="74" spans="1:8" ht="14.25" customHeight="1" outlineLevel="1">
      <c r="A74" s="65" t="str">
        <f>$L$8</f>
        <v>Conta</v>
      </c>
      <c r="B74" s="317" t="s">
        <v>206</v>
      </c>
      <c r="C74" s="317"/>
      <c r="D74" s="317"/>
      <c r="E74" s="324" t="s">
        <v>123</v>
      </c>
      <c r="F74" s="324"/>
      <c r="G74" s="68">
        <f>ROUND(84.72*0.05*0.3,2)</f>
        <v>1.27</v>
      </c>
      <c r="H74" s="69" t="str">
        <f>Planilha!F36</f>
        <v>M³</v>
      </c>
    </row>
    <row r="75" spans="1:8" ht="5.25" customHeight="1">
      <c r="C75" s="47"/>
      <c r="D75" s="47"/>
      <c r="E75" s="80"/>
      <c r="F75" s="80"/>
    </row>
    <row r="76" spans="1:8" s="25" customFormat="1" ht="14.25" customHeight="1">
      <c r="A76" s="82" t="str">
        <f>Planilha!A32</f>
        <v>2.5</v>
      </c>
      <c r="B76" s="321" t="str">
        <f>Planilha!D32</f>
        <v>FORMA DE MADEIRA MACICA</v>
      </c>
      <c r="C76" s="321"/>
      <c r="D76" s="321"/>
      <c r="E76" s="321"/>
      <c r="F76" s="321"/>
      <c r="G76" s="321"/>
      <c r="H76" s="322"/>
    </row>
    <row r="77" spans="1:8" ht="14.25" customHeight="1" outlineLevel="1">
      <c r="A77" s="72"/>
      <c r="B77" s="318" t="s">
        <v>145</v>
      </c>
      <c r="C77" s="318"/>
      <c r="D77" s="318"/>
      <c r="E77" s="314">
        <v>84.72</v>
      </c>
      <c r="F77" s="314"/>
      <c r="G77" s="315" t="s">
        <v>39</v>
      </c>
      <c r="H77" s="316"/>
    </row>
    <row r="78" spans="1:8" ht="14.25" customHeight="1" outlineLevel="1">
      <c r="A78" s="72"/>
      <c r="B78" s="318" t="s">
        <v>129</v>
      </c>
      <c r="C78" s="318"/>
      <c r="D78" s="318"/>
      <c r="E78" s="314">
        <v>0.3</v>
      </c>
      <c r="F78" s="314"/>
      <c r="G78" s="315" t="s">
        <v>39</v>
      </c>
      <c r="H78" s="316"/>
    </row>
    <row r="79" spans="1:8" ht="14.25" customHeight="1" outlineLevel="1">
      <c r="A79" s="72"/>
      <c r="B79" s="318" t="s">
        <v>148</v>
      </c>
      <c r="C79" s="318"/>
      <c r="D79" s="318"/>
      <c r="E79" s="314">
        <v>2</v>
      </c>
      <c r="F79" s="314"/>
      <c r="G79" s="315" t="s">
        <v>133</v>
      </c>
      <c r="H79" s="316"/>
    </row>
    <row r="80" spans="1:8" ht="14.25" customHeight="1" outlineLevel="1">
      <c r="A80" s="65" t="str">
        <f>$L$8</f>
        <v>Conta</v>
      </c>
      <c r="B80" s="317" t="s">
        <v>207</v>
      </c>
      <c r="C80" s="317"/>
      <c r="D80" s="317"/>
      <c r="E80" s="324" t="s">
        <v>123</v>
      </c>
      <c r="F80" s="324"/>
      <c r="G80" s="68">
        <f>ROUND(84.72*0.3*2,2)</f>
        <v>50.83</v>
      </c>
      <c r="H80" s="69" t="str">
        <f>Planilha!F32</f>
        <v>M²</v>
      </c>
    </row>
    <row r="81" spans="1:10" ht="5.25" customHeight="1">
      <c r="C81" s="47"/>
      <c r="D81" s="47"/>
      <c r="E81" s="80"/>
      <c r="F81" s="80"/>
    </row>
    <row r="82" spans="1:10" s="25" customFormat="1" ht="14.25" customHeight="1">
      <c r="A82" s="82" t="str">
        <f>Planilha!A33</f>
        <v>2.6</v>
      </c>
      <c r="B82" s="321" t="str">
        <f>Planilha!D33</f>
        <v>ACO CA 50 (A OU B) FYK= 500 M PA</v>
      </c>
      <c r="C82" s="321"/>
      <c r="D82" s="321"/>
      <c r="E82" s="321"/>
      <c r="F82" s="321"/>
      <c r="G82" s="321"/>
      <c r="H82" s="322"/>
    </row>
    <row r="83" spans="1:10" s="9" customFormat="1" ht="14.25" customHeight="1" outlineLevel="1">
      <c r="A83" s="72"/>
      <c r="B83" s="318" t="s">
        <v>144</v>
      </c>
      <c r="C83" s="318"/>
      <c r="D83" s="318"/>
      <c r="E83" s="314">
        <v>84.72</v>
      </c>
      <c r="F83" s="314"/>
      <c r="G83" s="315" t="s">
        <v>39</v>
      </c>
      <c r="H83" s="316"/>
    </row>
    <row r="84" spans="1:10" ht="14.25" customHeight="1" outlineLevel="1">
      <c r="A84" s="72"/>
      <c r="B84" s="318" t="s">
        <v>146</v>
      </c>
      <c r="C84" s="318"/>
      <c r="D84" s="318"/>
      <c r="E84" s="314">
        <v>4</v>
      </c>
      <c r="F84" s="314"/>
      <c r="G84" s="315" t="s">
        <v>133</v>
      </c>
      <c r="H84" s="316"/>
    </row>
    <row r="85" spans="1:10" ht="14.25" customHeight="1" outlineLevel="1">
      <c r="A85" s="72"/>
      <c r="B85" s="323" t="s">
        <v>212</v>
      </c>
      <c r="C85" s="323"/>
      <c r="D85" s="323"/>
      <c r="E85" s="314">
        <v>0.61699999999999999</v>
      </c>
      <c r="F85" s="314"/>
      <c r="G85" s="315" t="s">
        <v>137</v>
      </c>
      <c r="H85" s="316"/>
    </row>
    <row r="86" spans="1:10" ht="14.25" customHeight="1" outlineLevel="1">
      <c r="A86" s="65" t="str">
        <f>$L$8</f>
        <v>Conta</v>
      </c>
      <c r="B86" s="317" t="s">
        <v>251</v>
      </c>
      <c r="C86" s="317"/>
      <c r="D86" s="317"/>
      <c r="E86" s="324" t="s">
        <v>123</v>
      </c>
      <c r="F86" s="324"/>
      <c r="G86" s="68">
        <f>ROUND(84.72*4*0.617,2)</f>
        <v>209.09</v>
      </c>
      <c r="H86" s="69" t="str">
        <f>Planilha!F33</f>
        <v>KG</v>
      </c>
    </row>
    <row r="87" spans="1:10" ht="5.25" customHeight="1">
      <c r="C87" s="47"/>
      <c r="D87" s="47"/>
      <c r="E87" s="80"/>
      <c r="F87" s="80"/>
    </row>
    <row r="88" spans="1:10" s="25" customFormat="1" ht="14.25" customHeight="1">
      <c r="A88" s="82" t="str">
        <f>Planilha!A34</f>
        <v>2.7</v>
      </c>
      <c r="B88" s="321" t="str">
        <f>Planilha!D34</f>
        <v>ACO CA 60 (A OU B) FYK= 600 M PA</v>
      </c>
      <c r="C88" s="321"/>
      <c r="D88" s="321"/>
      <c r="E88" s="321"/>
      <c r="F88" s="321"/>
      <c r="G88" s="321"/>
      <c r="H88" s="322"/>
    </row>
    <row r="89" spans="1:10" ht="14.25" customHeight="1" outlineLevel="1">
      <c r="A89" s="72"/>
      <c r="B89" s="318" t="s">
        <v>149</v>
      </c>
      <c r="C89" s="318"/>
      <c r="D89" s="318"/>
      <c r="E89" s="314">
        <v>564</v>
      </c>
      <c r="F89" s="314"/>
      <c r="G89" s="315" t="s">
        <v>133</v>
      </c>
      <c r="H89" s="316"/>
      <c r="I89" s="314">
        <f>84.72/0.15</f>
        <v>564.80000000000007</v>
      </c>
      <c r="J89" s="314"/>
    </row>
    <row r="90" spans="1:10" ht="14.25" customHeight="1" outlineLevel="1">
      <c r="A90" s="72"/>
      <c r="B90" s="318" t="s">
        <v>145</v>
      </c>
      <c r="C90" s="318"/>
      <c r="D90" s="318"/>
      <c r="E90" s="314">
        <v>0.74</v>
      </c>
      <c r="F90" s="314"/>
      <c r="G90" s="315" t="s">
        <v>39</v>
      </c>
      <c r="H90" s="316"/>
    </row>
    <row r="91" spans="1:10" ht="14.25" customHeight="1" outlineLevel="1">
      <c r="A91" s="72"/>
      <c r="B91" s="323" t="s">
        <v>143</v>
      </c>
      <c r="C91" s="323"/>
      <c r="D91" s="323"/>
      <c r="E91" s="314">
        <v>0.109</v>
      </c>
      <c r="F91" s="314"/>
      <c r="G91" s="315" t="s">
        <v>137</v>
      </c>
      <c r="H91" s="316"/>
    </row>
    <row r="92" spans="1:10" ht="14.25" customHeight="1" outlineLevel="1">
      <c r="A92" s="65" t="str">
        <f>$L$8</f>
        <v>Conta</v>
      </c>
      <c r="B92" s="317" t="s">
        <v>252</v>
      </c>
      <c r="C92" s="317"/>
      <c r="D92" s="317"/>
      <c r="E92" s="324" t="s">
        <v>123</v>
      </c>
      <c r="F92" s="324"/>
      <c r="G92" s="68">
        <f>ROUND(564*0.74*0.109,2)</f>
        <v>45.49</v>
      </c>
      <c r="H92" s="69" t="str">
        <f>Planilha!F34</f>
        <v>KG</v>
      </c>
    </row>
    <row r="93" spans="1:10" ht="5.25" customHeight="1">
      <c r="C93" s="47"/>
      <c r="D93" s="47"/>
      <c r="E93" s="80"/>
      <c r="F93" s="80"/>
    </row>
    <row r="94" spans="1:10" s="25" customFormat="1" ht="14.25" customHeight="1">
      <c r="A94" s="82" t="str">
        <f>Planilha!A35</f>
        <v>2.8</v>
      </c>
      <c r="B94" s="321" t="str">
        <f>Planilha!D35</f>
        <v>CONCRETO DOSADO E LANCADO FCK=25 MPA</v>
      </c>
      <c r="C94" s="321"/>
      <c r="D94" s="321"/>
      <c r="E94" s="321"/>
      <c r="F94" s="321"/>
      <c r="G94" s="321"/>
      <c r="H94" s="322"/>
    </row>
    <row r="95" spans="1:10" ht="14.25" customHeight="1" outlineLevel="1">
      <c r="A95" s="72"/>
      <c r="B95" s="318" t="s">
        <v>145</v>
      </c>
      <c r="C95" s="318"/>
      <c r="D95" s="318"/>
      <c r="E95" s="314">
        <v>84.72</v>
      </c>
      <c r="F95" s="314"/>
      <c r="G95" s="315" t="s">
        <v>39</v>
      </c>
      <c r="H95" s="316"/>
    </row>
    <row r="96" spans="1:10" ht="14.25" customHeight="1" outlineLevel="1">
      <c r="A96" s="72"/>
      <c r="B96" s="318" t="s">
        <v>130</v>
      </c>
      <c r="C96" s="318"/>
      <c r="D96" s="318"/>
      <c r="E96" s="314">
        <v>0.3</v>
      </c>
      <c r="F96" s="314"/>
      <c r="G96" s="315" t="s">
        <v>39</v>
      </c>
      <c r="H96" s="316"/>
    </row>
    <row r="97" spans="1:8" ht="14.25" customHeight="1" outlineLevel="1">
      <c r="A97" s="72"/>
      <c r="B97" s="318" t="s">
        <v>129</v>
      </c>
      <c r="C97" s="318"/>
      <c r="D97" s="318"/>
      <c r="E97" s="314">
        <v>0.14000000000000001</v>
      </c>
      <c r="F97" s="314"/>
      <c r="G97" s="315" t="s">
        <v>39</v>
      </c>
      <c r="H97" s="316"/>
    </row>
    <row r="98" spans="1:8" ht="14.25" customHeight="1" outlineLevel="1">
      <c r="A98" s="65" t="str">
        <f>$L$8</f>
        <v>Conta</v>
      </c>
      <c r="B98" s="317" t="s">
        <v>210</v>
      </c>
      <c r="C98" s="317"/>
      <c r="D98" s="317"/>
      <c r="E98" s="324" t="s">
        <v>123</v>
      </c>
      <c r="F98" s="324"/>
      <c r="G98" s="68">
        <f>ROUND(84.72*0.3*0.14,2)</f>
        <v>3.56</v>
      </c>
      <c r="H98" s="69" t="str">
        <f>Planilha!F35</f>
        <v>M³</v>
      </c>
    </row>
    <row r="99" spans="1:8" ht="5.25" customHeight="1">
      <c r="C99" s="47"/>
      <c r="D99" s="47"/>
      <c r="E99" s="80"/>
      <c r="F99" s="80"/>
    </row>
    <row r="100" spans="1:8" s="25" customFormat="1" ht="14.25" customHeight="1">
      <c r="A100" s="82" t="str">
        <f>Planilha!A36</f>
        <v>2.9</v>
      </c>
      <c r="B100" s="321" t="str">
        <f>Planilha!D36</f>
        <v>REATERRO INTERNO APILOADO</v>
      </c>
      <c r="C100" s="321"/>
      <c r="D100" s="321"/>
      <c r="E100" s="321"/>
      <c r="F100" s="321"/>
      <c r="G100" s="321"/>
      <c r="H100" s="322"/>
    </row>
    <row r="101" spans="1:8" ht="14.25" customHeight="1" outlineLevel="1">
      <c r="A101" s="72"/>
      <c r="B101" s="318" t="s">
        <v>151</v>
      </c>
      <c r="C101" s="318"/>
      <c r="D101" s="318"/>
      <c r="E101" s="314">
        <f>G68</f>
        <v>10.17</v>
      </c>
      <c r="F101" s="314"/>
      <c r="G101" s="315" t="s">
        <v>30</v>
      </c>
      <c r="H101" s="316"/>
    </row>
    <row r="102" spans="1:8" ht="14.25" customHeight="1" outlineLevel="1">
      <c r="A102" s="72"/>
      <c r="B102" s="318" t="s">
        <v>150</v>
      </c>
      <c r="C102" s="318"/>
      <c r="D102" s="318"/>
      <c r="E102" s="314">
        <f>G98</f>
        <v>3.56</v>
      </c>
      <c r="F102" s="314"/>
      <c r="G102" s="315" t="s">
        <v>30</v>
      </c>
      <c r="H102" s="316"/>
    </row>
    <row r="103" spans="1:8" ht="14.25" customHeight="1" outlineLevel="1">
      <c r="A103" s="72"/>
      <c r="B103" s="318" t="s">
        <v>152</v>
      </c>
      <c r="C103" s="318"/>
      <c r="D103" s="318"/>
      <c r="E103" s="314">
        <v>30</v>
      </c>
      <c r="F103" s="314"/>
      <c r="G103" s="315" t="s">
        <v>153</v>
      </c>
      <c r="H103" s="316"/>
    </row>
    <row r="104" spans="1:8" ht="14.25" customHeight="1" outlineLevel="1">
      <c r="A104" s="65" t="str">
        <f>$L$8</f>
        <v>Conta</v>
      </c>
      <c r="B104" s="317" t="s">
        <v>253</v>
      </c>
      <c r="C104" s="317"/>
      <c r="D104" s="317"/>
      <c r="E104" s="324" t="s">
        <v>123</v>
      </c>
      <c r="F104" s="324"/>
      <c r="G104" s="68">
        <f>ROUND((10.17-3.56)*1.3,2)</f>
        <v>8.59</v>
      </c>
      <c r="H104" s="69" t="str">
        <f>Planilha!F36</f>
        <v>M³</v>
      </c>
    </row>
    <row r="105" spans="1:8" ht="5.25" customHeight="1">
      <c r="C105" s="47"/>
      <c r="D105" s="47"/>
      <c r="E105" s="80"/>
      <c r="F105" s="80"/>
      <c r="H105" s="83"/>
    </row>
    <row r="106" spans="1:8" s="25" customFormat="1" ht="14.25" customHeight="1">
      <c r="A106" s="71">
        <f>Planilha!A37</f>
        <v>0</v>
      </c>
      <c r="B106" s="328" t="str">
        <f>Planilha!D37</f>
        <v>ALVENARIA DE EMBASAMENTO</v>
      </c>
      <c r="C106" s="328"/>
      <c r="D106" s="328"/>
      <c r="E106" s="328"/>
      <c r="F106" s="328"/>
      <c r="G106" s="328"/>
      <c r="H106" s="328"/>
    </row>
    <row r="107" spans="1:8" ht="5.25" customHeight="1">
      <c r="C107" s="47"/>
      <c r="D107" s="47"/>
      <c r="E107" s="80"/>
      <c r="F107" s="80"/>
      <c r="H107" s="83"/>
    </row>
    <row r="108" spans="1:8" outlineLevel="1">
      <c r="A108" s="73" t="e">
        <f>Planilha!#REF!</f>
        <v>#REF!</v>
      </c>
      <c r="B108" s="319" t="e">
        <f>Planilha!#REF!</f>
        <v>#REF!</v>
      </c>
      <c r="C108" s="319"/>
      <c r="D108" s="319"/>
      <c r="E108" s="319"/>
      <c r="F108" s="319"/>
      <c r="G108" s="319"/>
      <c r="H108" s="320"/>
    </row>
    <row r="109" spans="1:8" ht="14.25" customHeight="1" outlineLevel="1">
      <c r="A109" s="72"/>
      <c r="B109" s="318" t="s">
        <v>144</v>
      </c>
      <c r="C109" s="318"/>
      <c r="D109" s="318"/>
      <c r="E109" s="314">
        <v>84.72</v>
      </c>
      <c r="F109" s="314"/>
      <c r="G109" s="315" t="s">
        <v>39</v>
      </c>
      <c r="H109" s="316"/>
    </row>
    <row r="110" spans="1:8" ht="14.25" customHeight="1" outlineLevel="1">
      <c r="A110" s="72"/>
      <c r="B110" s="318" t="s">
        <v>130</v>
      </c>
      <c r="C110" s="318"/>
      <c r="D110" s="318"/>
      <c r="E110" s="314">
        <v>0.2</v>
      </c>
      <c r="F110" s="314"/>
      <c r="G110" s="315" t="s">
        <v>39</v>
      </c>
      <c r="H110" s="316"/>
    </row>
    <row r="111" spans="1:8" ht="14.25" customHeight="1" outlineLevel="1">
      <c r="A111" s="72"/>
      <c r="B111" s="318" t="s">
        <v>129</v>
      </c>
      <c r="C111" s="318"/>
      <c r="D111" s="318"/>
      <c r="E111" s="314">
        <v>0.15</v>
      </c>
      <c r="F111" s="314"/>
      <c r="G111" s="315" t="s">
        <v>39</v>
      </c>
      <c r="H111" s="316"/>
    </row>
    <row r="112" spans="1:8" ht="14.25" customHeight="1" outlineLevel="1">
      <c r="A112" s="65" t="str">
        <f>$L$8</f>
        <v>Conta</v>
      </c>
      <c r="B112" s="317" t="s">
        <v>255</v>
      </c>
      <c r="C112" s="317"/>
      <c r="D112" s="317"/>
      <c r="E112" s="324" t="s">
        <v>123</v>
      </c>
      <c r="F112" s="324"/>
      <c r="G112" s="68">
        <f>ROUND(84.72*0.2*0.15,2)</f>
        <v>2.54</v>
      </c>
      <c r="H112" s="69" t="e">
        <f>Planilha!#REF!</f>
        <v>#REF!</v>
      </c>
    </row>
    <row r="113" spans="1:8" ht="5.25" customHeight="1">
      <c r="C113" s="47"/>
      <c r="D113" s="47"/>
      <c r="E113" s="80"/>
      <c r="F113" s="80"/>
      <c r="H113" s="83"/>
    </row>
    <row r="114" spans="1:8" outlineLevel="1">
      <c r="A114" s="73" t="e">
        <f>Planilha!#REF!</f>
        <v>#REF!</v>
      </c>
      <c r="B114" s="319" t="e">
        <f>Planilha!#REF!</f>
        <v>#REF!</v>
      </c>
      <c r="C114" s="319"/>
      <c r="D114" s="319"/>
      <c r="E114" s="319"/>
      <c r="F114" s="319"/>
      <c r="G114" s="319"/>
      <c r="H114" s="320"/>
    </row>
    <row r="115" spans="1:8" ht="14.25" customHeight="1" outlineLevel="1">
      <c r="A115" s="72"/>
      <c r="B115" s="318" t="s">
        <v>144</v>
      </c>
      <c r="C115" s="318"/>
      <c r="D115" s="318"/>
      <c r="E115" s="314">
        <v>84.72</v>
      </c>
      <c r="F115" s="314"/>
      <c r="G115" s="315" t="s">
        <v>39</v>
      </c>
      <c r="H115" s="316"/>
    </row>
    <row r="116" spans="1:8" ht="14.25" customHeight="1" outlineLevel="1">
      <c r="A116" s="72"/>
      <c r="B116" s="318" t="s">
        <v>130</v>
      </c>
      <c r="C116" s="318"/>
      <c r="D116" s="318"/>
      <c r="E116" s="314">
        <v>0.2</v>
      </c>
      <c r="F116" s="314"/>
      <c r="G116" s="315" t="s">
        <v>39</v>
      </c>
      <c r="H116" s="316"/>
    </row>
    <row r="117" spans="1:8" ht="14.25" customHeight="1" outlineLevel="1">
      <c r="A117" s="72"/>
      <c r="B117" s="318" t="s">
        <v>129</v>
      </c>
      <c r="C117" s="318"/>
      <c r="D117" s="318"/>
      <c r="E117" s="314">
        <v>0.15</v>
      </c>
      <c r="F117" s="314"/>
      <c r="G117" s="315" t="s">
        <v>39</v>
      </c>
      <c r="H117" s="316"/>
    </row>
    <row r="118" spans="1:8" ht="14.25" customHeight="1" outlineLevel="1">
      <c r="A118" s="65" t="str">
        <f>$L$8</f>
        <v>Conta</v>
      </c>
      <c r="B118" s="317" t="s">
        <v>255</v>
      </c>
      <c r="C118" s="317"/>
      <c r="D118" s="317"/>
      <c r="E118" s="324" t="s">
        <v>123</v>
      </c>
      <c r="F118" s="324"/>
      <c r="G118" s="68">
        <f>ROUND(84.72*0.2*0.15,2)</f>
        <v>2.54</v>
      </c>
      <c r="H118" s="69" t="str">
        <f>Planilha!F75</f>
        <v>M²</v>
      </c>
    </row>
    <row r="119" spans="1:8" ht="5.25" customHeight="1">
      <c r="C119" s="47"/>
      <c r="D119" s="47"/>
      <c r="E119" s="80"/>
      <c r="F119" s="80"/>
      <c r="H119" s="83"/>
    </row>
    <row r="120" spans="1:8" s="25" customFormat="1" ht="14.25" customHeight="1">
      <c r="A120" s="82" t="e">
        <f>Planilha!#REF!</f>
        <v>#REF!</v>
      </c>
      <c r="B120" s="321" t="e">
        <f>Planilha!#REF!</f>
        <v>#REF!</v>
      </c>
      <c r="C120" s="321"/>
      <c r="D120" s="321"/>
      <c r="E120" s="321"/>
      <c r="F120" s="321"/>
      <c r="G120" s="321"/>
      <c r="H120" s="322"/>
    </row>
    <row r="121" spans="1:8" ht="14.25" customHeight="1" outlineLevel="1">
      <c r="A121" s="72"/>
      <c r="B121" s="318" t="s">
        <v>145</v>
      </c>
      <c r="C121" s="318"/>
      <c r="D121" s="318"/>
      <c r="E121" s="314">
        <v>84.72</v>
      </c>
      <c r="F121" s="314"/>
      <c r="G121" s="315" t="s">
        <v>39</v>
      </c>
      <c r="H121" s="316"/>
    </row>
    <row r="122" spans="1:8" ht="14.25" customHeight="1" outlineLevel="1">
      <c r="A122" s="72"/>
      <c r="B122" s="318" t="s">
        <v>129</v>
      </c>
      <c r="C122" s="318"/>
      <c r="D122" s="318"/>
      <c r="E122" s="314">
        <v>0.3</v>
      </c>
      <c r="F122" s="314"/>
      <c r="G122" s="315" t="s">
        <v>39</v>
      </c>
      <c r="H122" s="316"/>
    </row>
    <row r="123" spans="1:8" ht="14.25" customHeight="1" outlineLevel="1">
      <c r="A123" s="72"/>
      <c r="B123" s="318" t="s">
        <v>148</v>
      </c>
      <c r="C123" s="318"/>
      <c r="D123" s="318"/>
      <c r="E123" s="314">
        <v>2</v>
      </c>
      <c r="F123" s="314"/>
      <c r="G123" s="315" t="s">
        <v>133</v>
      </c>
      <c r="H123" s="316"/>
    </row>
    <row r="124" spans="1:8" ht="14.25" customHeight="1" outlineLevel="1">
      <c r="A124" s="65" t="str">
        <f>$L$8</f>
        <v>Conta</v>
      </c>
      <c r="B124" s="317" t="s">
        <v>207</v>
      </c>
      <c r="C124" s="317"/>
      <c r="D124" s="317"/>
      <c r="E124" s="324" t="s">
        <v>123</v>
      </c>
      <c r="F124" s="324"/>
      <c r="G124" s="68">
        <f>ROUND(84.72*0.3*2,2)</f>
        <v>50.83</v>
      </c>
      <c r="H124" s="69" t="e">
        <f>Planilha!#REF!</f>
        <v>#REF!</v>
      </c>
    </row>
    <row r="125" spans="1:8" ht="5.25" customHeight="1">
      <c r="C125" s="47"/>
      <c r="D125" s="47"/>
      <c r="E125" s="80"/>
      <c r="F125" s="80"/>
      <c r="H125" s="83"/>
    </row>
    <row r="126" spans="1:8" s="25" customFormat="1" ht="14.25" customHeight="1">
      <c r="A126" s="82" t="e">
        <f>Planilha!#REF!</f>
        <v>#REF!</v>
      </c>
      <c r="B126" s="321" t="e">
        <f>Planilha!#REF!</f>
        <v>#REF!</v>
      </c>
      <c r="C126" s="321"/>
      <c r="D126" s="321"/>
      <c r="E126" s="321"/>
      <c r="F126" s="321"/>
      <c r="G126" s="321"/>
      <c r="H126" s="322"/>
    </row>
    <row r="127" spans="1:8" s="9" customFormat="1" ht="14.25" customHeight="1" outlineLevel="1">
      <c r="A127" s="72"/>
      <c r="B127" s="318" t="s">
        <v>144</v>
      </c>
      <c r="C127" s="318"/>
      <c r="D127" s="318"/>
      <c r="E127" s="314">
        <v>84.72</v>
      </c>
      <c r="F127" s="314"/>
      <c r="G127" s="315" t="s">
        <v>39</v>
      </c>
      <c r="H127" s="316"/>
    </row>
    <row r="128" spans="1:8" ht="14.25" customHeight="1" outlineLevel="1">
      <c r="A128" s="72"/>
      <c r="B128" s="318" t="s">
        <v>146</v>
      </c>
      <c r="C128" s="318"/>
      <c r="D128" s="318"/>
      <c r="E128" s="314">
        <v>4</v>
      </c>
      <c r="F128" s="314"/>
      <c r="G128" s="315" t="s">
        <v>133</v>
      </c>
      <c r="H128" s="316"/>
    </row>
    <row r="129" spans="1:8" ht="14.25" customHeight="1" outlineLevel="1">
      <c r="A129" s="72"/>
      <c r="B129" s="323" t="s">
        <v>212</v>
      </c>
      <c r="C129" s="323"/>
      <c r="D129" s="323"/>
      <c r="E129" s="314">
        <v>0.61699999999999999</v>
      </c>
      <c r="F129" s="314"/>
      <c r="G129" s="315" t="s">
        <v>137</v>
      </c>
      <c r="H129" s="316"/>
    </row>
    <row r="130" spans="1:8" ht="14.25" customHeight="1" outlineLevel="1">
      <c r="A130" s="65" t="str">
        <f>$L$8</f>
        <v>Conta</v>
      </c>
      <c r="B130" s="317" t="s">
        <v>251</v>
      </c>
      <c r="C130" s="317"/>
      <c r="D130" s="317"/>
      <c r="E130" s="324" t="s">
        <v>123</v>
      </c>
      <c r="F130" s="324"/>
      <c r="G130" s="68">
        <f>ROUND(84.72*4*0.617,2)</f>
        <v>209.09</v>
      </c>
      <c r="H130" s="69">
        <f>Planilha!F72</f>
        <v>0</v>
      </c>
    </row>
    <row r="131" spans="1:8" ht="5.25" customHeight="1">
      <c r="C131" s="47"/>
      <c r="D131" s="47"/>
      <c r="E131" s="80"/>
      <c r="F131" s="80"/>
    </row>
    <row r="132" spans="1:8" s="25" customFormat="1" ht="14.25" customHeight="1">
      <c r="A132" s="71">
        <f>Planilha!A40</f>
        <v>3</v>
      </c>
      <c r="B132" s="328" t="str">
        <f>Planilha!D40</f>
        <v xml:space="preserve">SUPERESTRUTURA </v>
      </c>
      <c r="C132" s="328"/>
      <c r="D132" s="328"/>
      <c r="E132" s="328"/>
      <c r="F132" s="328"/>
      <c r="G132" s="328"/>
      <c r="H132" s="328"/>
    </row>
    <row r="133" spans="1:8" ht="5.25" customHeight="1">
      <c r="C133" s="47"/>
      <c r="D133" s="47"/>
      <c r="E133" s="80"/>
      <c r="F133" s="80"/>
    </row>
    <row r="134" spans="1:8" s="25" customFormat="1" ht="14.25" customHeight="1">
      <c r="A134" s="71">
        <f>Planilha!A41</f>
        <v>0</v>
      </c>
      <c r="B134" s="328" t="str">
        <f>Planilha!D41</f>
        <v>PILARES</v>
      </c>
      <c r="C134" s="328"/>
      <c r="D134" s="328"/>
      <c r="E134" s="328"/>
      <c r="F134" s="328"/>
      <c r="G134" s="328"/>
      <c r="H134" s="328"/>
    </row>
    <row r="135" spans="1:8" ht="5.25" customHeight="1">
      <c r="C135" s="47"/>
      <c r="D135" s="47"/>
      <c r="E135" s="80"/>
      <c r="F135" s="80"/>
    </row>
    <row r="136" spans="1:8" ht="25.5" customHeight="1" outlineLevel="1">
      <c r="A136" s="73" t="str">
        <f>Planilha!A42</f>
        <v>3.1</v>
      </c>
      <c r="B136" s="319" t="str">
        <f>Planilha!D42</f>
        <v>FORMA DE MADEIRA MACICA</v>
      </c>
      <c r="C136" s="319"/>
      <c r="D136" s="319"/>
      <c r="E136" s="319"/>
      <c r="F136" s="319"/>
      <c r="G136" s="319"/>
      <c r="H136" s="320"/>
    </row>
    <row r="137" spans="1:8" ht="14.25" customHeight="1" outlineLevel="1">
      <c r="A137" s="72"/>
      <c r="B137" s="318" t="s">
        <v>145</v>
      </c>
      <c r="C137" s="318"/>
      <c r="D137" s="318"/>
      <c r="E137" s="314">
        <v>3.2</v>
      </c>
      <c r="F137" s="314"/>
      <c r="G137" s="315" t="s">
        <v>39</v>
      </c>
      <c r="H137" s="316"/>
    </row>
    <row r="138" spans="1:8" ht="14.25" customHeight="1" outlineLevel="1">
      <c r="A138" s="72"/>
      <c r="B138" s="318" t="s">
        <v>129</v>
      </c>
      <c r="C138" s="318"/>
      <c r="D138" s="318"/>
      <c r="E138" s="314">
        <v>0.3</v>
      </c>
      <c r="F138" s="314"/>
      <c r="G138" s="315" t="s">
        <v>39</v>
      </c>
      <c r="H138" s="316"/>
    </row>
    <row r="139" spans="1:8" ht="14.25" customHeight="1" outlineLevel="1">
      <c r="A139" s="72"/>
      <c r="B139" s="318" t="s">
        <v>148</v>
      </c>
      <c r="C139" s="318"/>
      <c r="D139" s="318"/>
      <c r="E139" s="314">
        <v>2</v>
      </c>
      <c r="F139" s="314"/>
      <c r="G139" s="315" t="s">
        <v>133</v>
      </c>
      <c r="H139" s="316"/>
    </row>
    <row r="140" spans="1:8" ht="14.25" customHeight="1" outlineLevel="1">
      <c r="A140" s="72"/>
      <c r="B140" s="318" t="s">
        <v>154</v>
      </c>
      <c r="C140" s="318"/>
      <c r="D140" s="318"/>
      <c r="E140" s="314">
        <v>14</v>
      </c>
      <c r="F140" s="314"/>
      <c r="G140" s="315" t="s">
        <v>133</v>
      </c>
      <c r="H140" s="316"/>
    </row>
    <row r="141" spans="1:8" ht="14.25" customHeight="1" outlineLevel="1">
      <c r="A141" s="65" t="str">
        <f>$L$8</f>
        <v>Conta</v>
      </c>
      <c r="B141" s="317" t="s">
        <v>208</v>
      </c>
      <c r="C141" s="317"/>
      <c r="D141" s="317"/>
      <c r="E141" s="324" t="s">
        <v>123</v>
      </c>
      <c r="F141" s="324"/>
      <c r="G141" s="68">
        <f>ROUND(3.2*0.3*2*14,2)</f>
        <v>26.88</v>
      </c>
      <c r="H141" s="69" t="str">
        <f>Planilha!F42</f>
        <v>M²</v>
      </c>
    </row>
    <row r="142" spans="1:8" ht="5.25" customHeight="1">
      <c r="C142" s="47"/>
      <c r="D142" s="47"/>
      <c r="E142" s="80"/>
      <c r="F142" s="80"/>
    </row>
    <row r="143" spans="1:8" s="25" customFormat="1" ht="14.25" customHeight="1">
      <c r="A143" s="82" t="str">
        <f>Planilha!A43</f>
        <v>3.2</v>
      </c>
      <c r="B143" s="321" t="str">
        <f>Planilha!D43</f>
        <v>ACO CA 50 (A OU B) FYK= 500 M PA</v>
      </c>
      <c r="C143" s="321"/>
      <c r="D143" s="321"/>
      <c r="E143" s="321"/>
      <c r="F143" s="321"/>
      <c r="G143" s="321"/>
      <c r="H143" s="322"/>
    </row>
    <row r="144" spans="1:8" ht="14.25" customHeight="1" outlineLevel="1">
      <c r="A144" s="72"/>
      <c r="B144" s="318" t="s">
        <v>144</v>
      </c>
      <c r="C144" s="318"/>
      <c r="D144" s="318"/>
      <c r="E144" s="314">
        <v>3.2</v>
      </c>
      <c r="F144" s="314"/>
      <c r="G144" s="315" t="s">
        <v>39</v>
      </c>
      <c r="H144" s="316"/>
    </row>
    <row r="145" spans="1:8" ht="14.25" customHeight="1" outlineLevel="1">
      <c r="A145" s="72"/>
      <c r="B145" s="318" t="s">
        <v>146</v>
      </c>
      <c r="C145" s="318"/>
      <c r="D145" s="318"/>
      <c r="E145" s="314">
        <v>4</v>
      </c>
      <c r="F145" s="314"/>
      <c r="G145" s="315" t="s">
        <v>133</v>
      </c>
      <c r="H145" s="316"/>
    </row>
    <row r="146" spans="1:8" ht="14.25" customHeight="1" outlineLevel="1">
      <c r="A146" s="72"/>
      <c r="B146" s="323" t="s">
        <v>212</v>
      </c>
      <c r="C146" s="323"/>
      <c r="D146" s="323"/>
      <c r="E146" s="314">
        <v>0.61699999999999999</v>
      </c>
      <c r="F146" s="314"/>
      <c r="G146" s="315" t="s">
        <v>137</v>
      </c>
      <c r="H146" s="316"/>
    </row>
    <row r="147" spans="1:8" ht="14.25" customHeight="1" outlineLevel="1">
      <c r="A147" s="65" t="str">
        <f>$L$8</f>
        <v>Conta</v>
      </c>
      <c r="B147" s="317" t="s">
        <v>216</v>
      </c>
      <c r="C147" s="317"/>
      <c r="D147" s="317"/>
      <c r="E147" s="324" t="s">
        <v>123</v>
      </c>
      <c r="F147" s="324"/>
      <c r="G147" s="68">
        <f>ROUND(3.2*4*0.617,2)</f>
        <v>7.9</v>
      </c>
      <c r="H147" s="69" t="str">
        <f>Planilha!F70</f>
        <v>M²</v>
      </c>
    </row>
    <row r="148" spans="1:8" ht="5.25" customHeight="1">
      <c r="C148" s="47"/>
      <c r="D148" s="47"/>
      <c r="E148" s="80"/>
      <c r="F148" s="80"/>
    </row>
    <row r="149" spans="1:8" s="25" customFormat="1" ht="14.25" customHeight="1">
      <c r="A149" s="82" t="str">
        <f>Planilha!A44</f>
        <v>3.3</v>
      </c>
      <c r="B149" s="321" t="str">
        <f>Planilha!D44</f>
        <v>ACO CA 60 (A OU B) FYK= 600 M PA</v>
      </c>
      <c r="C149" s="321"/>
      <c r="D149" s="321"/>
      <c r="E149" s="321"/>
      <c r="F149" s="321"/>
      <c r="G149" s="321"/>
      <c r="H149" s="322"/>
    </row>
    <row r="150" spans="1:8" ht="14.25" customHeight="1" outlineLevel="1">
      <c r="A150" s="72"/>
      <c r="B150" s="318" t="s">
        <v>155</v>
      </c>
      <c r="C150" s="318"/>
      <c r="D150" s="318"/>
      <c r="E150" s="314">
        <f>3.2/0.12</f>
        <v>26.666666666666668</v>
      </c>
      <c r="F150" s="314"/>
      <c r="G150" s="315" t="s">
        <v>133</v>
      </c>
      <c r="H150" s="316"/>
    </row>
    <row r="151" spans="1:8" ht="14.25" customHeight="1" outlineLevel="1">
      <c r="A151" s="72"/>
      <c r="B151" s="318" t="s">
        <v>145</v>
      </c>
      <c r="C151" s="318"/>
      <c r="D151" s="318"/>
      <c r="E151" s="314">
        <v>0.74</v>
      </c>
      <c r="F151" s="314"/>
      <c r="G151" s="315" t="s">
        <v>39</v>
      </c>
      <c r="H151" s="316"/>
    </row>
    <row r="152" spans="1:8" ht="14.25" customHeight="1" outlineLevel="1">
      <c r="A152" s="72"/>
      <c r="B152" s="323" t="s">
        <v>212</v>
      </c>
      <c r="C152" s="323"/>
      <c r="D152" s="323"/>
      <c r="E152" s="314">
        <v>0.61699999999999999</v>
      </c>
      <c r="F152" s="314"/>
      <c r="G152" s="315" t="s">
        <v>137</v>
      </c>
      <c r="H152" s="316"/>
    </row>
    <row r="153" spans="1:8" ht="14.25" customHeight="1" outlineLevel="1">
      <c r="A153" s="65" t="str">
        <f>$L$8</f>
        <v>Conta</v>
      </c>
      <c r="B153" s="317" t="s">
        <v>215</v>
      </c>
      <c r="C153" s="317"/>
      <c r="D153" s="317"/>
      <c r="E153" s="324" t="s">
        <v>123</v>
      </c>
      <c r="F153" s="324"/>
      <c r="G153" s="68">
        <f>ROUND(706*0.76*0.617,2)</f>
        <v>331.06</v>
      </c>
      <c r="H153" s="69" t="str">
        <f>Planilha!F44</f>
        <v>KG</v>
      </c>
    </row>
    <row r="154" spans="1:8" ht="5.25" customHeight="1">
      <c r="C154" s="47"/>
      <c r="D154" s="47"/>
      <c r="E154" s="80"/>
      <c r="F154" s="80"/>
    </row>
    <row r="155" spans="1:8" s="25" customFormat="1" ht="14.25" customHeight="1">
      <c r="A155" s="82" t="str">
        <f>Planilha!A45</f>
        <v>3.4</v>
      </c>
      <c r="B155" s="321" t="str">
        <f>Planilha!D45</f>
        <v>CONCRETO DOSADO E LANCADO FCK=25 MPA</v>
      </c>
      <c r="C155" s="321"/>
      <c r="D155" s="321"/>
      <c r="E155" s="321"/>
      <c r="F155" s="321"/>
      <c r="G155" s="321"/>
      <c r="H155" s="322"/>
    </row>
    <row r="156" spans="1:8" ht="14.25" customHeight="1" outlineLevel="1">
      <c r="A156" s="72"/>
      <c r="B156" s="318" t="s">
        <v>129</v>
      </c>
      <c r="C156" s="318"/>
      <c r="D156" s="318"/>
      <c r="E156" s="314">
        <v>0.14000000000000001</v>
      </c>
      <c r="F156" s="314"/>
      <c r="G156" s="315" t="s">
        <v>39</v>
      </c>
      <c r="H156" s="316"/>
    </row>
    <row r="157" spans="1:8" ht="14.25" customHeight="1" outlineLevel="1">
      <c r="A157" s="72"/>
      <c r="B157" s="318" t="s">
        <v>145</v>
      </c>
      <c r="C157" s="318"/>
      <c r="D157" s="318"/>
      <c r="E157" s="314">
        <v>0.3</v>
      </c>
      <c r="F157" s="314"/>
      <c r="G157" s="315" t="s">
        <v>39</v>
      </c>
      <c r="H157" s="316"/>
    </row>
    <row r="158" spans="1:8" ht="14.25" customHeight="1" outlineLevel="1">
      <c r="A158" s="72"/>
      <c r="B158" s="318" t="s">
        <v>130</v>
      </c>
      <c r="C158" s="318"/>
      <c r="D158" s="318"/>
      <c r="E158" s="314">
        <v>3.2</v>
      </c>
      <c r="F158" s="314"/>
      <c r="G158" s="315" t="s">
        <v>39</v>
      </c>
      <c r="H158" s="316"/>
    </row>
    <row r="159" spans="1:8" ht="14.25" customHeight="1" outlineLevel="1">
      <c r="A159" s="72"/>
      <c r="B159" s="318" t="s">
        <v>154</v>
      </c>
      <c r="C159" s="318"/>
      <c r="D159" s="318"/>
      <c r="E159" s="314">
        <v>14</v>
      </c>
      <c r="F159" s="314"/>
      <c r="G159" s="315" t="s">
        <v>133</v>
      </c>
      <c r="H159" s="316"/>
    </row>
    <row r="160" spans="1:8" ht="14.25" customHeight="1" outlineLevel="1">
      <c r="A160" s="65" t="str">
        <f>$L$8</f>
        <v>Conta</v>
      </c>
      <c r="B160" s="317" t="s">
        <v>217</v>
      </c>
      <c r="C160" s="317"/>
      <c r="D160" s="317"/>
      <c r="E160" s="324" t="s">
        <v>123</v>
      </c>
      <c r="F160" s="324"/>
      <c r="G160" s="68">
        <f>ROUND(0.14*0.3*3.2*14,2)</f>
        <v>1.88</v>
      </c>
      <c r="H160" s="69" t="str">
        <f>Planilha!F45</f>
        <v>M³</v>
      </c>
    </row>
    <row r="161" spans="1:8" ht="5.25" customHeight="1">
      <c r="C161" s="47"/>
      <c r="D161" s="47"/>
      <c r="E161" s="80"/>
      <c r="F161" s="80"/>
    </row>
    <row r="162" spans="1:8" s="25" customFormat="1" ht="14.25" customHeight="1">
      <c r="A162" s="71">
        <f>Planilha!A46</f>
        <v>0</v>
      </c>
      <c r="B162" s="328" t="str">
        <f>Planilha!D46</f>
        <v>VIGAS</v>
      </c>
      <c r="C162" s="328"/>
      <c r="D162" s="328"/>
      <c r="E162" s="328"/>
      <c r="F162" s="328"/>
      <c r="G162" s="328"/>
      <c r="H162" s="328"/>
    </row>
    <row r="163" spans="1:8" ht="5.25" customHeight="1">
      <c r="C163" s="47"/>
      <c r="D163" s="47"/>
      <c r="E163" s="80"/>
      <c r="F163" s="80"/>
    </row>
    <row r="164" spans="1:8" ht="25.5" customHeight="1" outlineLevel="1">
      <c r="A164" s="73" t="str">
        <f>Planilha!A47</f>
        <v>3.5</v>
      </c>
      <c r="B164" s="319" t="str">
        <f>Planilha!D47</f>
        <v>FORMA DE MADEIRA MACICA</v>
      </c>
      <c r="C164" s="319"/>
      <c r="D164" s="319"/>
      <c r="E164" s="319"/>
      <c r="F164" s="319"/>
      <c r="G164" s="319"/>
      <c r="H164" s="320"/>
    </row>
    <row r="165" spans="1:8" ht="14.25" customHeight="1" outlineLevel="1">
      <c r="A165" s="72"/>
      <c r="B165" s="318" t="s">
        <v>145</v>
      </c>
      <c r="C165" s="318"/>
      <c r="D165" s="318"/>
      <c r="E165" s="314">
        <v>84.72</v>
      </c>
      <c r="F165" s="314"/>
      <c r="G165" s="315" t="s">
        <v>39</v>
      </c>
      <c r="H165" s="316"/>
    </row>
    <row r="166" spans="1:8" ht="14.25" customHeight="1" outlineLevel="1">
      <c r="A166" s="72"/>
      <c r="B166" s="318" t="s">
        <v>129</v>
      </c>
      <c r="C166" s="318"/>
      <c r="D166" s="318"/>
      <c r="E166" s="314">
        <v>0.14000000000000001</v>
      </c>
      <c r="F166" s="314"/>
      <c r="G166" s="315" t="s">
        <v>39</v>
      </c>
      <c r="H166" s="316"/>
    </row>
    <row r="167" spans="1:8" ht="14.25" customHeight="1" outlineLevel="1">
      <c r="A167" s="72"/>
      <c r="B167" s="318" t="s">
        <v>148</v>
      </c>
      <c r="C167" s="318"/>
      <c r="D167" s="318"/>
      <c r="E167" s="314">
        <v>2</v>
      </c>
      <c r="F167" s="314"/>
      <c r="G167" s="315" t="s">
        <v>133</v>
      </c>
      <c r="H167" s="316"/>
    </row>
    <row r="168" spans="1:8" ht="14.25" customHeight="1" outlineLevel="1">
      <c r="A168" s="65" t="str">
        <f>$L$8</f>
        <v>Conta</v>
      </c>
      <c r="B168" s="317" t="s">
        <v>209</v>
      </c>
      <c r="C168" s="317"/>
      <c r="D168" s="317"/>
      <c r="E168" s="324" t="s">
        <v>123</v>
      </c>
      <c r="F168" s="324"/>
      <c r="G168" s="68">
        <f>ROUND(84.72*0.14*2,2)</f>
        <v>23.72</v>
      </c>
      <c r="H168" s="69">
        <f>Planilha!F89</f>
        <v>0</v>
      </c>
    </row>
    <row r="169" spans="1:8" ht="5.25" customHeight="1">
      <c r="C169" s="47"/>
      <c r="D169" s="47"/>
      <c r="E169" s="80"/>
      <c r="F169" s="80"/>
    </row>
    <row r="170" spans="1:8" s="25" customFormat="1" ht="14.25" customHeight="1">
      <c r="A170" s="82" t="str">
        <f>Planilha!A48</f>
        <v>3.6</v>
      </c>
      <c r="B170" s="321" t="str">
        <f>Planilha!D48</f>
        <v>ACO CA 50 (A OU B) FYK= 500 M PA</v>
      </c>
      <c r="C170" s="321"/>
      <c r="D170" s="321"/>
      <c r="E170" s="321"/>
      <c r="F170" s="321"/>
      <c r="G170" s="321"/>
      <c r="H170" s="322"/>
    </row>
    <row r="171" spans="1:8" s="9" customFormat="1" ht="14.25" customHeight="1" outlineLevel="1">
      <c r="A171" s="72"/>
      <c r="B171" s="318" t="s">
        <v>144</v>
      </c>
      <c r="C171" s="318"/>
      <c r="D171" s="318"/>
      <c r="E171" s="314">
        <v>84.72</v>
      </c>
      <c r="F171" s="314"/>
      <c r="G171" s="315" t="s">
        <v>39</v>
      </c>
      <c r="H171" s="316"/>
    </row>
    <row r="172" spans="1:8" ht="14.25" customHeight="1" outlineLevel="1">
      <c r="A172" s="72"/>
      <c r="B172" s="318" t="s">
        <v>146</v>
      </c>
      <c r="C172" s="318"/>
      <c r="D172" s="318"/>
      <c r="E172" s="314">
        <v>4</v>
      </c>
      <c r="F172" s="314"/>
      <c r="G172" s="315" t="s">
        <v>133</v>
      </c>
      <c r="H172" s="316"/>
    </row>
    <row r="173" spans="1:8" ht="14.25" customHeight="1" outlineLevel="1">
      <c r="A173" s="72"/>
      <c r="B173" s="323" t="s">
        <v>211</v>
      </c>
      <c r="C173" s="323"/>
      <c r="D173" s="323"/>
      <c r="E173" s="314">
        <v>0.39500000000000002</v>
      </c>
      <c r="F173" s="314"/>
      <c r="G173" s="315" t="s">
        <v>137</v>
      </c>
      <c r="H173" s="316"/>
    </row>
    <row r="174" spans="1:8" ht="14.25" customHeight="1" outlineLevel="1">
      <c r="A174" s="65" t="str">
        <f>$L$8</f>
        <v>Conta</v>
      </c>
      <c r="B174" s="317" t="s">
        <v>213</v>
      </c>
      <c r="C174" s="317"/>
      <c r="D174" s="317"/>
      <c r="E174" s="324" t="s">
        <v>123</v>
      </c>
      <c r="F174" s="324"/>
      <c r="G174" s="68">
        <f>ROUND(84.72*4*0.395,2)</f>
        <v>133.86000000000001</v>
      </c>
      <c r="H174" s="69">
        <f>Planilha!F100</f>
        <v>0</v>
      </c>
    </row>
    <row r="175" spans="1:8" ht="5.25" customHeight="1">
      <c r="C175" s="47"/>
      <c r="D175" s="47"/>
      <c r="E175" s="80"/>
      <c r="F175" s="80"/>
    </row>
    <row r="176" spans="1:8" s="25" customFormat="1" ht="14.25" customHeight="1">
      <c r="A176" s="82" t="str">
        <f>Planilha!A49</f>
        <v>3.7</v>
      </c>
      <c r="B176" s="321" t="str">
        <f>Planilha!D49</f>
        <v>ACO CA 60 (A OU B) FYK= 600 M PA</v>
      </c>
      <c r="C176" s="321"/>
      <c r="D176" s="321"/>
      <c r="E176" s="321"/>
      <c r="F176" s="321"/>
      <c r="G176" s="321"/>
      <c r="H176" s="322"/>
    </row>
    <row r="177" spans="1:8" ht="14.25" customHeight="1" outlineLevel="1">
      <c r="A177" s="72"/>
      <c r="B177" s="318" t="s">
        <v>149</v>
      </c>
      <c r="C177" s="318"/>
      <c r="D177" s="318"/>
      <c r="E177" s="314">
        <f>84.72/0.15</f>
        <v>564.80000000000007</v>
      </c>
      <c r="F177" s="314"/>
      <c r="G177" s="315" t="s">
        <v>133</v>
      </c>
      <c r="H177" s="316"/>
    </row>
    <row r="178" spans="1:8" ht="14.25" customHeight="1" outlineLevel="1">
      <c r="A178" s="72"/>
      <c r="B178" s="318" t="s">
        <v>145</v>
      </c>
      <c r="C178" s="318"/>
      <c r="D178" s="318"/>
      <c r="E178" s="314">
        <v>0.84</v>
      </c>
      <c r="F178" s="314"/>
      <c r="G178" s="315" t="s">
        <v>39</v>
      </c>
      <c r="H178" s="316"/>
    </row>
    <row r="179" spans="1:8" ht="14.25" customHeight="1" outlineLevel="1">
      <c r="A179" s="72"/>
      <c r="B179" s="323" t="s">
        <v>211</v>
      </c>
      <c r="C179" s="323"/>
      <c r="D179" s="323"/>
      <c r="E179" s="314">
        <v>0.39500000000000002</v>
      </c>
      <c r="F179" s="314"/>
      <c r="G179" s="315" t="s">
        <v>137</v>
      </c>
      <c r="H179" s="316"/>
    </row>
    <row r="180" spans="1:8" ht="14.25" customHeight="1" outlineLevel="1">
      <c r="A180" s="65" t="str">
        <f>$L$8</f>
        <v>Conta</v>
      </c>
      <c r="B180" s="317" t="s">
        <v>214</v>
      </c>
      <c r="C180" s="317"/>
      <c r="D180" s="317"/>
      <c r="E180" s="324" t="s">
        <v>123</v>
      </c>
      <c r="F180" s="324"/>
      <c r="G180" s="68">
        <f>ROUND(564.8*0.94*0.395,2)</f>
        <v>209.71</v>
      </c>
      <c r="H180" s="69">
        <f>Planilha!F101</f>
        <v>0</v>
      </c>
    </row>
    <row r="181" spans="1:8" ht="5.25" customHeight="1">
      <c r="C181" s="47"/>
      <c r="D181" s="47"/>
      <c r="E181" s="80"/>
      <c r="F181" s="80"/>
    </row>
    <row r="182" spans="1:8" s="25" customFormat="1" ht="14.25" customHeight="1">
      <c r="A182" s="82" t="str">
        <f>Planilha!A50</f>
        <v>3.8</v>
      </c>
      <c r="B182" s="321" t="str">
        <f>Planilha!D50</f>
        <v>CONCRETO DOSADO E LANCADO FCK=25 MPA</v>
      </c>
      <c r="C182" s="321"/>
      <c r="D182" s="321"/>
      <c r="E182" s="321"/>
      <c r="F182" s="321"/>
      <c r="G182" s="321"/>
      <c r="H182" s="322"/>
    </row>
    <row r="183" spans="1:8" ht="14.25" customHeight="1" outlineLevel="1">
      <c r="A183" s="72"/>
      <c r="B183" s="318" t="s">
        <v>145</v>
      </c>
      <c r="C183" s="318"/>
      <c r="D183" s="318"/>
      <c r="E183" s="314">
        <v>84.72</v>
      </c>
      <c r="F183" s="314"/>
      <c r="G183" s="315" t="s">
        <v>39</v>
      </c>
      <c r="H183" s="316"/>
    </row>
    <row r="184" spans="1:8" ht="14.25" customHeight="1" outlineLevel="1">
      <c r="A184" s="72"/>
      <c r="B184" s="318" t="s">
        <v>130</v>
      </c>
      <c r="C184" s="318"/>
      <c r="D184" s="318"/>
      <c r="E184" s="314">
        <v>0.3</v>
      </c>
      <c r="F184" s="314"/>
      <c r="G184" s="315" t="s">
        <v>39</v>
      </c>
      <c r="H184" s="316"/>
    </row>
    <row r="185" spans="1:8" ht="14.25" customHeight="1" outlineLevel="1">
      <c r="A185" s="72"/>
      <c r="B185" s="318" t="s">
        <v>129</v>
      </c>
      <c r="C185" s="318"/>
      <c r="D185" s="318"/>
      <c r="E185" s="314">
        <v>0.14000000000000001</v>
      </c>
      <c r="F185" s="314"/>
      <c r="G185" s="315" t="s">
        <v>39</v>
      </c>
      <c r="H185" s="316"/>
    </row>
    <row r="186" spans="1:8" ht="14.25" customHeight="1" outlineLevel="1">
      <c r="A186" s="65" t="str">
        <f>$L$8</f>
        <v>Conta</v>
      </c>
      <c r="B186" s="317" t="s">
        <v>210</v>
      </c>
      <c r="C186" s="317"/>
      <c r="D186" s="317"/>
      <c r="E186" s="324" t="s">
        <v>123</v>
      </c>
      <c r="F186" s="324"/>
      <c r="G186" s="68">
        <f>ROUND(84.72*0.3*0.14,2)</f>
        <v>3.56</v>
      </c>
      <c r="H186" s="69" t="str">
        <f>Planilha!F50</f>
        <v>M³</v>
      </c>
    </row>
    <row r="187" spans="1:8" ht="5.25" customHeight="1">
      <c r="C187" s="47"/>
      <c r="D187" s="47"/>
      <c r="E187" s="80"/>
      <c r="F187" s="80"/>
    </row>
    <row r="188" spans="1:8" s="25" customFormat="1" ht="14.25" customHeight="1">
      <c r="A188" s="71">
        <f>Planilha!A51</f>
        <v>0</v>
      </c>
      <c r="B188" s="328" t="str">
        <f>Planilha!D51</f>
        <v>VERGAS</v>
      </c>
      <c r="C188" s="328"/>
      <c r="D188" s="328"/>
      <c r="E188" s="328"/>
      <c r="F188" s="328"/>
      <c r="G188" s="328"/>
      <c r="H188" s="328"/>
    </row>
    <row r="189" spans="1:8" ht="5.25" customHeight="1">
      <c r="C189" s="47"/>
      <c r="D189" s="47"/>
      <c r="E189" s="80"/>
      <c r="F189" s="80"/>
    </row>
    <row r="190" spans="1:8" s="25" customFormat="1" ht="14.25" customHeight="1">
      <c r="A190" s="82" t="str">
        <f>Planilha!A52</f>
        <v>3.9</v>
      </c>
      <c r="B190" s="321" t="str">
        <f>Planilha!D52</f>
        <v>VERGA / CINTA EM BLOCO DE CONCRETO CANALETA 14X19X39 CM</v>
      </c>
      <c r="C190" s="321"/>
      <c r="D190" s="321"/>
      <c r="E190" s="321"/>
      <c r="F190" s="321"/>
      <c r="G190" s="321"/>
      <c r="H190" s="322"/>
    </row>
    <row r="191" spans="1:8" ht="14.25" customHeight="1" outlineLevel="1">
      <c r="A191" s="72"/>
      <c r="B191" s="315"/>
      <c r="C191" s="315"/>
      <c r="D191" s="315"/>
      <c r="E191" s="314"/>
      <c r="F191" s="314"/>
      <c r="G191" s="315"/>
      <c r="H191" s="316"/>
    </row>
    <row r="192" spans="1:8" ht="14.25" customHeight="1" outlineLevel="1">
      <c r="A192" s="72"/>
      <c r="B192" s="315"/>
      <c r="C192" s="315"/>
      <c r="D192" s="315"/>
      <c r="E192" s="314"/>
      <c r="F192" s="314"/>
      <c r="G192" s="315"/>
      <c r="H192" s="316"/>
    </row>
    <row r="193" spans="1:8" ht="14.25" customHeight="1" outlineLevel="1">
      <c r="A193" s="72"/>
      <c r="B193" s="315"/>
      <c r="C193" s="315"/>
      <c r="D193" s="315"/>
      <c r="E193" s="314"/>
      <c r="F193" s="314"/>
      <c r="G193" s="315"/>
      <c r="H193" s="316"/>
    </row>
    <row r="194" spans="1:8" ht="14.25" customHeight="1" outlineLevel="1">
      <c r="A194" s="72"/>
      <c r="B194" s="315"/>
      <c r="C194" s="315"/>
      <c r="D194" s="315"/>
      <c r="E194" s="314"/>
      <c r="F194" s="314"/>
      <c r="G194" s="315"/>
      <c r="H194" s="316"/>
    </row>
    <row r="195" spans="1:8" ht="14.25" customHeight="1" outlineLevel="1">
      <c r="A195" s="72"/>
      <c r="B195" s="315"/>
      <c r="C195" s="315"/>
      <c r="D195" s="315"/>
      <c r="E195" s="314"/>
      <c r="F195" s="314"/>
      <c r="G195" s="315"/>
      <c r="H195" s="316"/>
    </row>
    <row r="196" spans="1:8" ht="14.25" customHeight="1" outlineLevel="1">
      <c r="A196" s="72"/>
      <c r="B196" s="315"/>
      <c r="C196" s="315"/>
      <c r="D196" s="315"/>
      <c r="E196" s="314"/>
      <c r="F196" s="314"/>
      <c r="G196" s="315"/>
      <c r="H196" s="316"/>
    </row>
    <row r="197" spans="1:8" ht="14.25" customHeight="1" outlineLevel="1">
      <c r="A197" s="65" t="str">
        <f>$L$8</f>
        <v>Conta</v>
      </c>
      <c r="B197" s="317"/>
      <c r="C197" s="317"/>
      <c r="D197" s="317"/>
      <c r="E197" s="324" t="s">
        <v>123</v>
      </c>
      <c r="F197" s="324"/>
      <c r="G197" s="68"/>
      <c r="H197" s="69" t="str">
        <f>Planilha!F52</f>
        <v>M</v>
      </c>
    </row>
    <row r="198" spans="1:8" ht="5.25" customHeight="1">
      <c r="C198" s="47"/>
      <c r="D198" s="47"/>
      <c r="E198" s="80"/>
      <c r="F198" s="80"/>
    </row>
    <row r="199" spans="1:8" s="25" customFormat="1" ht="14.25" customHeight="1">
      <c r="A199" s="71">
        <f>Planilha!A56</f>
        <v>4</v>
      </c>
      <c r="B199" s="328" t="str">
        <f>Planilha!D56</f>
        <v xml:space="preserve">PAREDES E PAINEIS </v>
      </c>
      <c r="C199" s="328"/>
      <c r="D199" s="328"/>
      <c r="E199" s="328"/>
      <c r="F199" s="328"/>
      <c r="G199" s="328"/>
      <c r="H199" s="328"/>
    </row>
    <row r="200" spans="1:8" ht="5.25" customHeight="1">
      <c r="C200" s="47"/>
      <c r="D200" s="47"/>
      <c r="E200" s="80"/>
      <c r="F200" s="80"/>
    </row>
    <row r="201" spans="1:8" s="25" customFormat="1" ht="14.25" customHeight="1">
      <c r="A201" s="71">
        <f>Planilha!A57</f>
        <v>0</v>
      </c>
      <c r="B201" s="328" t="str">
        <f>Planilha!D57</f>
        <v>ALVENARIA DE VEDAÇÃO</v>
      </c>
      <c r="C201" s="328"/>
      <c r="D201" s="328"/>
      <c r="E201" s="328"/>
      <c r="F201" s="328"/>
      <c r="G201" s="328"/>
      <c r="H201" s="328"/>
    </row>
    <row r="202" spans="1:8" ht="5.25" customHeight="1">
      <c r="C202" s="47"/>
      <c r="D202" s="47"/>
      <c r="E202" s="80"/>
      <c r="F202" s="80"/>
    </row>
    <row r="203" spans="1:8" ht="25.5" customHeight="1" outlineLevel="1">
      <c r="A203" s="73" t="str">
        <f>Planilha!A58</f>
        <v>4.1</v>
      </c>
      <c r="B203" s="319" t="str">
        <f>Planilha!D58</f>
        <v>ALVENARIA DE BLOCO DE CONCRETO 14X19X39 CM CLASSE C</v>
      </c>
      <c r="C203" s="319"/>
      <c r="D203" s="319"/>
      <c r="E203" s="319"/>
      <c r="F203" s="319"/>
      <c r="G203" s="319"/>
      <c r="H203" s="320"/>
    </row>
    <row r="204" spans="1:8" ht="14.25" customHeight="1" outlineLevel="1">
      <c r="A204" s="72"/>
      <c r="B204" s="318" t="s">
        <v>127</v>
      </c>
      <c r="C204" s="318"/>
      <c r="D204" s="318"/>
      <c r="E204" s="314">
        <v>79.42</v>
      </c>
      <c r="F204" s="314"/>
      <c r="G204" s="315" t="s">
        <v>39</v>
      </c>
      <c r="H204" s="316"/>
    </row>
    <row r="205" spans="1:8" ht="14.25" customHeight="1" outlineLevel="1">
      <c r="A205" s="72"/>
      <c r="B205" s="318" t="s">
        <v>126</v>
      </c>
      <c r="C205" s="318"/>
      <c r="D205" s="318"/>
      <c r="E205" s="314">
        <v>2.2999999999999998</v>
      </c>
      <c r="F205" s="314"/>
      <c r="G205" s="315" t="s">
        <v>39</v>
      </c>
      <c r="H205" s="316"/>
    </row>
    <row r="206" spans="1:8" ht="14.25" customHeight="1" outlineLevel="1">
      <c r="A206" s="72"/>
      <c r="B206" s="318" t="s">
        <v>128</v>
      </c>
      <c r="C206" s="318"/>
      <c r="D206" s="318"/>
      <c r="E206" s="314"/>
      <c r="F206" s="314"/>
      <c r="G206" s="315"/>
      <c r="H206" s="316"/>
    </row>
    <row r="207" spans="1:8" outlineLevel="1">
      <c r="A207" s="72"/>
      <c r="B207" s="336" t="s">
        <v>218</v>
      </c>
      <c r="C207" s="336"/>
      <c r="D207" s="336"/>
      <c r="E207" s="314">
        <v>18</v>
      </c>
      <c r="F207" s="314"/>
      <c r="G207" s="315" t="s">
        <v>32</v>
      </c>
      <c r="H207" s="316"/>
    </row>
    <row r="208" spans="1:8" s="48" customFormat="1" outlineLevel="1">
      <c r="A208" s="75"/>
      <c r="B208" s="336" t="s">
        <v>219</v>
      </c>
      <c r="C208" s="336"/>
      <c r="D208" s="336"/>
      <c r="E208" s="325">
        <v>1.2</v>
      </c>
      <c r="F208" s="325"/>
      <c r="G208" s="326" t="s">
        <v>32</v>
      </c>
      <c r="H208" s="327"/>
    </row>
    <row r="209" spans="1:8" s="48" customFormat="1" outlineLevel="1">
      <c r="A209" s="75"/>
      <c r="B209" s="336" t="s">
        <v>220</v>
      </c>
      <c r="C209" s="336"/>
      <c r="D209" s="336"/>
      <c r="E209" s="325">
        <v>10.08</v>
      </c>
      <c r="F209" s="325"/>
      <c r="G209" s="326" t="s">
        <v>32</v>
      </c>
      <c r="H209" s="327"/>
    </row>
    <row r="210" spans="1:8" s="48" customFormat="1" outlineLevel="1">
      <c r="A210" s="75"/>
      <c r="B210" s="336" t="s">
        <v>221</v>
      </c>
      <c r="C210" s="336"/>
      <c r="D210" s="336"/>
      <c r="E210" s="325">
        <v>3.36</v>
      </c>
      <c r="F210" s="325"/>
      <c r="G210" s="326" t="s">
        <v>32</v>
      </c>
      <c r="H210" s="327"/>
    </row>
    <row r="211" spans="1:8" s="48" customFormat="1" outlineLevel="1">
      <c r="A211" s="75"/>
      <c r="B211" s="336" t="s">
        <v>222</v>
      </c>
      <c r="C211" s="336"/>
      <c r="D211" s="336"/>
      <c r="E211" s="325">
        <v>1.26</v>
      </c>
      <c r="F211" s="325"/>
      <c r="G211" s="326" t="s">
        <v>32</v>
      </c>
      <c r="H211" s="327"/>
    </row>
    <row r="212" spans="1:8" ht="14.25" customHeight="1" outlineLevel="1">
      <c r="A212" s="65" t="str">
        <f>$L$8</f>
        <v>Conta</v>
      </c>
      <c r="B212" s="317" t="s">
        <v>223</v>
      </c>
      <c r="C212" s="317"/>
      <c r="D212" s="317"/>
      <c r="E212" s="324" t="s">
        <v>123</v>
      </c>
      <c r="F212" s="324"/>
      <c r="G212" s="68">
        <f>ROUND(((79.42*2.3)-18-1.2-10.08-3.36-1.26),2)</f>
        <v>148.77000000000001</v>
      </c>
      <c r="H212" s="69" t="str">
        <f>Planilha!F58</f>
        <v>M²</v>
      </c>
    </row>
    <row r="213" spans="1:8" ht="5.25" customHeight="1">
      <c r="C213" s="47"/>
      <c r="D213" s="47"/>
      <c r="E213" s="80"/>
      <c r="F213" s="80"/>
    </row>
    <row r="214" spans="1:8" s="25" customFormat="1" ht="14.25" customHeight="1">
      <c r="A214" s="82" t="str">
        <f>Planilha!A60</f>
        <v>4.3</v>
      </c>
      <c r="B214" s="321" t="str">
        <f>Planilha!D60</f>
        <v>DV-02 DIVISORIA DE GRANILITE - LATERAL FECHADA</v>
      </c>
      <c r="C214" s="321"/>
      <c r="D214" s="321"/>
      <c r="E214" s="321"/>
      <c r="F214" s="321"/>
      <c r="G214" s="321"/>
      <c r="H214" s="322"/>
    </row>
    <row r="215" spans="1:8" ht="14.25" customHeight="1" outlineLevel="1">
      <c r="A215" s="72"/>
      <c r="B215" s="318" t="s">
        <v>145</v>
      </c>
      <c r="C215" s="318"/>
      <c r="D215" s="318"/>
      <c r="E215" s="314">
        <v>1.37</v>
      </c>
      <c r="F215" s="314"/>
      <c r="G215" s="315" t="s">
        <v>39</v>
      </c>
      <c r="H215" s="316"/>
    </row>
    <row r="216" spans="1:8" ht="14.25" customHeight="1" outlineLevel="1">
      <c r="A216" s="72"/>
      <c r="B216" s="318" t="s">
        <v>130</v>
      </c>
      <c r="C216" s="318"/>
      <c r="D216" s="318"/>
      <c r="E216" s="314">
        <v>2.1</v>
      </c>
      <c r="F216" s="314"/>
      <c r="G216" s="315" t="s">
        <v>39</v>
      </c>
      <c r="H216" s="316"/>
    </row>
    <row r="217" spans="1:8" ht="14.25" customHeight="1" outlineLevel="1">
      <c r="A217" s="74" t="s">
        <v>202</v>
      </c>
      <c r="B217" s="317" t="s">
        <v>224</v>
      </c>
      <c r="C217" s="317"/>
      <c r="D217" s="317"/>
      <c r="E217" s="324" t="s">
        <v>123</v>
      </c>
      <c r="F217" s="324"/>
      <c r="G217" s="68">
        <f>ROUND(1.37*2.1,2)</f>
        <v>2.88</v>
      </c>
      <c r="H217" s="69" t="str">
        <f>Planilha!F60</f>
        <v>M²</v>
      </c>
    </row>
    <row r="218" spans="1:8" ht="5.25" customHeight="1">
      <c r="C218" s="47"/>
      <c r="D218" s="47"/>
      <c r="E218" s="80"/>
      <c r="F218" s="80"/>
    </row>
    <row r="219" spans="1:8" s="25" customFormat="1" ht="14.25" customHeight="1">
      <c r="A219" s="71">
        <f>Planilha!A61</f>
        <v>5</v>
      </c>
      <c r="B219" s="328" t="str">
        <f>Planilha!D61</f>
        <v xml:space="preserve">ESQUADRIAS </v>
      </c>
      <c r="C219" s="328"/>
      <c r="D219" s="328"/>
      <c r="E219" s="328"/>
      <c r="F219" s="328"/>
      <c r="G219" s="328"/>
      <c r="H219" s="328"/>
    </row>
    <row r="220" spans="1:8" ht="5.25" customHeight="1">
      <c r="C220" s="47"/>
      <c r="D220" s="47"/>
      <c r="E220" s="80"/>
      <c r="F220" s="80"/>
    </row>
    <row r="221" spans="1:8" s="25" customFormat="1" ht="14.25" customHeight="1">
      <c r="A221" s="71">
        <f>Planilha!A62</f>
        <v>0</v>
      </c>
      <c r="B221" s="328" t="str">
        <f>Planilha!D62</f>
        <v xml:space="preserve">PORTAS </v>
      </c>
      <c r="C221" s="328"/>
      <c r="D221" s="328"/>
      <c r="E221" s="328"/>
      <c r="F221" s="328"/>
      <c r="G221" s="328"/>
      <c r="H221" s="328"/>
    </row>
    <row r="222" spans="1:8" ht="5.25" customHeight="1">
      <c r="C222" s="47"/>
      <c r="D222" s="47"/>
      <c r="E222" s="80"/>
      <c r="F222" s="80"/>
    </row>
    <row r="223" spans="1:8" s="25" customFormat="1" ht="14.25" customHeight="1">
      <c r="A223" s="82" t="e">
        <f>Planilha!#REF!</f>
        <v>#REF!</v>
      </c>
      <c r="B223" s="321" t="e">
        <f>Planilha!#REF!</f>
        <v>#REF!</v>
      </c>
      <c r="C223" s="321"/>
      <c r="D223" s="321"/>
      <c r="E223" s="321"/>
      <c r="F223" s="321"/>
      <c r="G223" s="321"/>
      <c r="H223" s="322"/>
    </row>
    <row r="224" spans="1:8" ht="14.25" customHeight="1" outlineLevel="1">
      <c r="A224" s="65" t="str">
        <f>$L$8</f>
        <v>Conta</v>
      </c>
      <c r="B224" s="317"/>
      <c r="C224" s="317"/>
      <c r="D224" s="317"/>
      <c r="E224" s="324" t="s">
        <v>123</v>
      </c>
      <c r="F224" s="324"/>
      <c r="G224" s="68" t="e">
        <f>Planilha!#REF!</f>
        <v>#REF!</v>
      </c>
      <c r="H224" s="69" t="e">
        <f>Planilha!#REF!</f>
        <v>#REF!</v>
      </c>
    </row>
    <row r="225" spans="1:8" ht="5.25" customHeight="1">
      <c r="C225" s="47"/>
      <c r="D225" s="47"/>
      <c r="E225" s="80"/>
      <c r="F225" s="80"/>
    </row>
    <row r="226" spans="1:8" s="25" customFormat="1" ht="14.25" customHeight="1">
      <c r="A226" s="71" t="e">
        <f>Planilha!#REF!</f>
        <v>#REF!</v>
      </c>
      <c r="B226" s="328" t="e">
        <f>Planilha!#REF!</f>
        <v>#REF!</v>
      </c>
      <c r="C226" s="328"/>
      <c r="D226" s="328"/>
      <c r="E226" s="328"/>
      <c r="F226" s="328"/>
      <c r="G226" s="328"/>
      <c r="H226" s="328"/>
    </row>
    <row r="227" spans="1:8" ht="5.25" customHeight="1">
      <c r="C227" s="47"/>
      <c r="D227" s="47"/>
      <c r="E227" s="80"/>
      <c r="F227" s="80"/>
    </row>
    <row r="228" spans="1:8" s="25" customFormat="1" ht="14.25" customHeight="1">
      <c r="A228" s="82" t="e">
        <f>Planilha!#REF!</f>
        <v>#REF!</v>
      </c>
      <c r="B228" s="321" t="e">
        <f>Planilha!#REF!</f>
        <v>#REF!</v>
      </c>
      <c r="C228" s="321"/>
      <c r="D228" s="321"/>
      <c r="E228" s="321"/>
      <c r="F228" s="321"/>
      <c r="G228" s="321"/>
      <c r="H228" s="322"/>
    </row>
    <row r="229" spans="1:8" ht="14.25" customHeight="1" outlineLevel="1">
      <c r="A229" s="65" t="str">
        <f>$L$8</f>
        <v>Conta</v>
      </c>
      <c r="B229" s="317"/>
      <c r="C229" s="317"/>
      <c r="D229" s="317"/>
      <c r="E229" s="324" t="s">
        <v>123</v>
      </c>
      <c r="F229" s="324"/>
      <c r="G229" s="68" t="e">
        <f>Planilha!#REF!</f>
        <v>#REF!</v>
      </c>
      <c r="H229" s="69" t="e">
        <f>Planilha!#REF!</f>
        <v>#REF!</v>
      </c>
    </row>
    <row r="230" spans="1:8" ht="5.25" customHeight="1">
      <c r="C230" s="47"/>
      <c r="D230" s="47"/>
      <c r="E230" s="80"/>
      <c r="F230" s="80"/>
    </row>
    <row r="231" spans="1:8" s="25" customFormat="1" ht="14.25" customHeight="1">
      <c r="A231" s="82" t="e">
        <f>Planilha!#REF!</f>
        <v>#REF!</v>
      </c>
      <c r="B231" s="321" t="e">
        <f>Planilha!#REF!</f>
        <v>#REF!</v>
      </c>
      <c r="C231" s="321"/>
      <c r="D231" s="321"/>
      <c r="E231" s="321"/>
      <c r="F231" s="321"/>
      <c r="G231" s="321"/>
      <c r="H231" s="322"/>
    </row>
    <row r="232" spans="1:8" ht="14.25" customHeight="1" outlineLevel="1">
      <c r="A232" s="65" t="str">
        <f>$L$8</f>
        <v>Conta</v>
      </c>
      <c r="B232" s="317"/>
      <c r="C232" s="317"/>
      <c r="D232" s="317"/>
      <c r="E232" s="324" t="s">
        <v>123</v>
      </c>
      <c r="F232" s="324"/>
      <c r="G232" s="68" t="e">
        <f>Planilha!#REF!</f>
        <v>#REF!</v>
      </c>
      <c r="H232" s="69" t="e">
        <f>Planilha!#REF!</f>
        <v>#REF!</v>
      </c>
    </row>
    <row r="233" spans="1:8" ht="5.25" customHeight="1">
      <c r="C233" s="47"/>
      <c r="D233" s="47"/>
      <c r="E233" s="80"/>
      <c r="F233" s="80"/>
    </row>
    <row r="234" spans="1:8" s="25" customFormat="1" ht="14.25" customHeight="1">
      <c r="A234" s="71" t="e">
        <f>Planilha!#REF!</f>
        <v>#REF!</v>
      </c>
      <c r="B234" s="328" t="e">
        <f>Planilha!#REF!</f>
        <v>#REF!</v>
      </c>
      <c r="C234" s="328"/>
      <c r="D234" s="328"/>
      <c r="E234" s="328"/>
      <c r="F234" s="328"/>
      <c r="G234" s="328"/>
      <c r="H234" s="328"/>
    </row>
    <row r="235" spans="1:8" ht="5.25" customHeight="1">
      <c r="C235" s="47"/>
      <c r="D235" s="47"/>
      <c r="E235" s="80"/>
      <c r="F235" s="80"/>
    </row>
    <row r="236" spans="1:8" s="25" customFormat="1" ht="14.25" customHeight="1">
      <c r="A236" s="82" t="e">
        <f>Planilha!#REF!</f>
        <v>#REF!</v>
      </c>
      <c r="B236" s="321" t="e">
        <f>Planilha!#REF!</f>
        <v>#REF!</v>
      </c>
      <c r="C236" s="321"/>
      <c r="D236" s="321"/>
      <c r="E236" s="321"/>
      <c r="F236" s="321"/>
      <c r="G236" s="321"/>
      <c r="H236" s="322"/>
    </row>
    <row r="237" spans="1:8" ht="14.25" customHeight="1" outlineLevel="1">
      <c r="A237" s="65" t="str">
        <f>$L$8</f>
        <v>Conta</v>
      </c>
      <c r="B237" s="317"/>
      <c r="C237" s="317"/>
      <c r="D237" s="317"/>
      <c r="E237" s="324" t="s">
        <v>123</v>
      </c>
      <c r="F237" s="324"/>
      <c r="G237" s="68" t="e">
        <f>Planilha!#REF!</f>
        <v>#REF!</v>
      </c>
      <c r="H237" s="69" t="e">
        <f>Planilha!#REF!</f>
        <v>#REF!</v>
      </c>
    </row>
    <row r="238" spans="1:8" ht="5.25" customHeight="1">
      <c r="C238" s="47"/>
      <c r="D238" s="47"/>
      <c r="E238" s="80"/>
      <c r="F238" s="80"/>
    </row>
    <row r="239" spans="1:8" s="25" customFormat="1" ht="14.25" customHeight="1">
      <c r="A239" s="71" t="e">
        <f>Planilha!#REF!</f>
        <v>#REF!</v>
      </c>
      <c r="B239" s="328" t="e">
        <f>Planilha!#REF!</f>
        <v>#REF!</v>
      </c>
      <c r="C239" s="328"/>
      <c r="D239" s="328"/>
      <c r="E239" s="328"/>
      <c r="F239" s="328"/>
      <c r="G239" s="328"/>
      <c r="H239" s="328"/>
    </row>
    <row r="240" spans="1:8" ht="5.25" customHeight="1">
      <c r="C240" s="47"/>
      <c r="D240" s="47"/>
      <c r="E240" s="80"/>
      <c r="F240" s="80"/>
    </row>
    <row r="241" spans="1:8" s="25" customFormat="1" ht="14.25" customHeight="1">
      <c r="A241" s="82" t="e">
        <f>Planilha!#REF!</f>
        <v>#REF!</v>
      </c>
      <c r="B241" s="321" t="e">
        <f>Planilha!#REF!</f>
        <v>#REF!</v>
      </c>
      <c r="C241" s="321"/>
      <c r="D241" s="321"/>
      <c r="E241" s="321"/>
      <c r="F241" s="321"/>
      <c r="G241" s="321"/>
      <c r="H241" s="322"/>
    </row>
    <row r="242" spans="1:8" ht="14.25" customHeight="1" outlineLevel="1">
      <c r="A242" s="65" t="str">
        <f>$L$8</f>
        <v>Conta</v>
      </c>
      <c r="B242" s="317"/>
      <c r="C242" s="317"/>
      <c r="D242" s="317"/>
      <c r="E242" s="324" t="s">
        <v>123</v>
      </c>
      <c r="F242" s="324"/>
      <c r="G242" s="68" t="e">
        <f>Planilha!#REF!</f>
        <v>#REF!</v>
      </c>
      <c r="H242" s="69" t="e">
        <f>Planilha!#REF!</f>
        <v>#REF!</v>
      </c>
    </row>
    <row r="243" spans="1:8" ht="5.25" customHeight="1">
      <c r="C243" s="47"/>
      <c r="D243" s="47"/>
      <c r="E243" s="80"/>
      <c r="F243" s="80"/>
    </row>
    <row r="244" spans="1:8" s="25" customFormat="1" ht="14.25" customHeight="1">
      <c r="A244" s="71">
        <f>Planilha!A65</f>
        <v>0</v>
      </c>
      <c r="B244" s="328" t="str">
        <f>Planilha!D65</f>
        <v xml:space="preserve">JANELAS </v>
      </c>
      <c r="C244" s="328"/>
      <c r="D244" s="328"/>
      <c r="E244" s="328"/>
      <c r="F244" s="328"/>
      <c r="G244" s="328"/>
      <c r="H244" s="328"/>
    </row>
    <row r="245" spans="1:8" ht="5.25" customHeight="1">
      <c r="C245" s="47"/>
      <c r="D245" s="47"/>
      <c r="E245" s="80"/>
      <c r="F245" s="80"/>
    </row>
    <row r="246" spans="1:8" s="25" customFormat="1" ht="14.25" customHeight="1">
      <c r="A246" s="82" t="str">
        <f>Planilha!A66</f>
        <v>5.3</v>
      </c>
      <c r="B246" s="321" t="str">
        <f>Planilha!D66</f>
        <v>CAIXILHOS DE FERRO -BASCULANTES</v>
      </c>
      <c r="C246" s="321"/>
      <c r="D246" s="321"/>
      <c r="E246" s="321"/>
      <c r="F246" s="321"/>
      <c r="G246" s="321"/>
      <c r="H246" s="322"/>
    </row>
    <row r="247" spans="1:8" ht="14.25" customHeight="1" outlineLevel="1">
      <c r="A247" s="65" t="str">
        <f>$L$8</f>
        <v>Conta</v>
      </c>
      <c r="B247" s="317"/>
      <c r="C247" s="317"/>
      <c r="D247" s="317"/>
      <c r="E247" s="324" t="s">
        <v>123</v>
      </c>
      <c r="F247" s="324"/>
      <c r="G247" s="68">
        <f>Planilha!E66</f>
        <v>16</v>
      </c>
      <c r="H247" s="69" t="str">
        <f>Planilha!F66</f>
        <v>M²</v>
      </c>
    </row>
    <row r="248" spans="1:8" ht="5.25" customHeight="1">
      <c r="C248" s="47"/>
      <c r="D248" s="47"/>
      <c r="E248" s="80"/>
      <c r="F248" s="80"/>
    </row>
    <row r="249" spans="1:8" s="25" customFormat="1" ht="14.25" customHeight="1">
      <c r="A249" s="71">
        <f>Planilha!A68</f>
        <v>6</v>
      </c>
      <c r="B249" s="328" t="str">
        <f>Planilha!D68</f>
        <v xml:space="preserve">COBERTURA </v>
      </c>
      <c r="C249" s="328"/>
      <c r="D249" s="328"/>
      <c r="E249" s="328"/>
      <c r="F249" s="328"/>
      <c r="G249" s="328"/>
      <c r="H249" s="328"/>
    </row>
    <row r="250" spans="1:8" ht="5.25" customHeight="1">
      <c r="C250" s="47"/>
      <c r="D250" s="47"/>
      <c r="E250" s="80"/>
      <c r="F250" s="80"/>
    </row>
    <row r="251" spans="1:8" s="25" customFormat="1" ht="14.25" customHeight="1">
      <c r="A251" s="82" t="e">
        <f>Planilha!#REF!</f>
        <v>#REF!</v>
      </c>
      <c r="B251" s="321" t="e">
        <f>Planilha!#REF!</f>
        <v>#REF!</v>
      </c>
      <c r="C251" s="321"/>
      <c r="D251" s="321"/>
      <c r="E251" s="321"/>
      <c r="F251" s="321"/>
      <c r="G251" s="321"/>
      <c r="H251" s="322"/>
    </row>
    <row r="252" spans="1:8" ht="14.25" customHeight="1" outlineLevel="1">
      <c r="A252" s="72"/>
      <c r="B252" s="318" t="s">
        <v>156</v>
      </c>
      <c r="C252" s="318"/>
      <c r="D252" s="318"/>
      <c r="E252" s="314"/>
      <c r="F252" s="314"/>
      <c r="G252" s="315"/>
      <c r="H252" s="316"/>
    </row>
    <row r="253" spans="1:8" ht="14.25" customHeight="1" outlineLevel="1">
      <c r="A253" s="72"/>
      <c r="B253" s="318" t="s">
        <v>145</v>
      </c>
      <c r="C253" s="318"/>
      <c r="D253" s="318"/>
      <c r="E253" s="314">
        <v>14</v>
      </c>
      <c r="F253" s="314"/>
      <c r="G253" s="315"/>
      <c r="H253" s="316"/>
    </row>
    <row r="254" spans="1:8" ht="14.25" customHeight="1" outlineLevel="1">
      <c r="A254" s="72"/>
      <c r="B254" s="318" t="s">
        <v>129</v>
      </c>
      <c r="C254" s="318"/>
      <c r="D254" s="318"/>
      <c r="E254" s="314">
        <v>11.85</v>
      </c>
      <c r="F254" s="314"/>
      <c r="G254" s="315"/>
      <c r="H254" s="316"/>
    </row>
    <row r="255" spans="1:8" ht="14.25" customHeight="1" outlineLevel="1">
      <c r="A255" s="72"/>
      <c r="B255" s="318" t="s">
        <v>157</v>
      </c>
      <c r="C255" s="318"/>
      <c r="D255" s="318"/>
      <c r="E255" s="314"/>
      <c r="F255" s="314"/>
      <c r="G255" s="315"/>
      <c r="H255" s="316"/>
    </row>
    <row r="256" spans="1:8" ht="14.25" customHeight="1" outlineLevel="1">
      <c r="A256" s="72"/>
      <c r="B256" s="318" t="s">
        <v>145</v>
      </c>
      <c r="C256" s="318"/>
      <c r="D256" s="318"/>
      <c r="E256" s="314">
        <v>1.6</v>
      </c>
      <c r="F256" s="314"/>
      <c r="G256" s="315"/>
      <c r="H256" s="316"/>
    </row>
    <row r="257" spans="1:8" ht="14.25" customHeight="1" outlineLevel="1">
      <c r="A257" s="72"/>
      <c r="B257" s="318" t="s">
        <v>129</v>
      </c>
      <c r="C257" s="318"/>
      <c r="D257" s="318"/>
      <c r="E257" s="314">
        <v>3.2</v>
      </c>
      <c r="F257" s="314"/>
      <c r="G257" s="315"/>
      <c r="H257" s="316"/>
    </row>
    <row r="258" spans="1:8" ht="14.25" customHeight="1" outlineLevel="1">
      <c r="A258" s="65" t="str">
        <f>$L$8</f>
        <v>Conta</v>
      </c>
      <c r="B258" s="317" t="s">
        <v>225</v>
      </c>
      <c r="C258" s="317"/>
      <c r="D258" s="317"/>
      <c r="E258" s="324" t="s">
        <v>123</v>
      </c>
      <c r="F258" s="324"/>
      <c r="G258" s="68">
        <f>ROUND(14*11.85+1.6*3.2,2)</f>
        <v>171.02</v>
      </c>
      <c r="H258" s="69" t="e">
        <f>Planilha!#REF!</f>
        <v>#REF!</v>
      </c>
    </row>
    <row r="259" spans="1:8" ht="5.25" customHeight="1">
      <c r="C259" s="47"/>
      <c r="D259" s="47"/>
      <c r="E259" s="80"/>
      <c r="F259" s="80"/>
    </row>
    <row r="260" spans="1:8" s="25" customFormat="1" ht="14.25" customHeight="1">
      <c r="A260" s="82" t="str">
        <f>Planilha!A70</f>
        <v>6.2</v>
      </c>
      <c r="B260" s="321" t="str">
        <f>Planilha!D70</f>
        <v>TELHA TECNOLOGIA CRFS ONDULADA E=8MM</v>
      </c>
      <c r="C260" s="321"/>
      <c r="D260" s="321"/>
      <c r="E260" s="321"/>
      <c r="F260" s="321"/>
      <c r="G260" s="321"/>
      <c r="H260" s="322"/>
    </row>
    <row r="261" spans="1:8" ht="14.25" customHeight="1" outlineLevel="1">
      <c r="A261" s="72"/>
      <c r="B261" s="318" t="s">
        <v>156</v>
      </c>
      <c r="C261" s="318"/>
      <c r="D261" s="318"/>
      <c r="E261" s="314"/>
      <c r="F261" s="314"/>
      <c r="G261" s="315"/>
      <c r="H261" s="316"/>
    </row>
    <row r="262" spans="1:8" ht="14.25" customHeight="1" outlineLevel="1">
      <c r="A262" s="72"/>
      <c r="B262" s="318" t="s">
        <v>145</v>
      </c>
      <c r="C262" s="318"/>
      <c r="D262" s="318"/>
      <c r="E262" s="314">
        <v>14</v>
      </c>
      <c r="F262" s="314"/>
      <c r="G262" s="315"/>
      <c r="H262" s="316"/>
    </row>
    <row r="263" spans="1:8" ht="14.25" customHeight="1" outlineLevel="1">
      <c r="A263" s="72"/>
      <c r="B263" s="318" t="s">
        <v>129</v>
      </c>
      <c r="C263" s="318"/>
      <c r="D263" s="318"/>
      <c r="E263" s="314">
        <v>11.85</v>
      </c>
      <c r="F263" s="314"/>
      <c r="G263" s="315"/>
      <c r="H263" s="316"/>
    </row>
    <row r="264" spans="1:8" ht="14.25" customHeight="1" outlineLevel="1">
      <c r="A264" s="72"/>
      <c r="B264" s="318" t="s">
        <v>157</v>
      </c>
      <c r="C264" s="318"/>
      <c r="D264" s="318"/>
      <c r="E264" s="314"/>
      <c r="F264" s="314"/>
      <c r="G264" s="315"/>
      <c r="H264" s="316"/>
    </row>
    <row r="265" spans="1:8" ht="14.25" customHeight="1" outlineLevel="1">
      <c r="A265" s="72"/>
      <c r="B265" s="318" t="s">
        <v>145</v>
      </c>
      <c r="C265" s="318"/>
      <c r="D265" s="318"/>
      <c r="E265" s="314">
        <v>1.6</v>
      </c>
      <c r="F265" s="314"/>
      <c r="G265" s="315"/>
      <c r="H265" s="316"/>
    </row>
    <row r="266" spans="1:8" ht="14.25" customHeight="1" outlineLevel="1">
      <c r="A266" s="72"/>
      <c r="B266" s="318" t="s">
        <v>129</v>
      </c>
      <c r="C266" s="318"/>
      <c r="D266" s="318"/>
      <c r="E266" s="314">
        <v>3.2</v>
      </c>
      <c r="F266" s="314"/>
      <c r="G266" s="315"/>
      <c r="H266" s="316"/>
    </row>
    <row r="267" spans="1:8" ht="14.25" customHeight="1" outlineLevel="1">
      <c r="A267" s="65" t="str">
        <f>$L$8</f>
        <v>Conta</v>
      </c>
      <c r="B267" s="317" t="s">
        <v>158</v>
      </c>
      <c r="C267" s="317"/>
      <c r="D267" s="317"/>
      <c r="E267" s="324" t="s">
        <v>123</v>
      </c>
      <c r="F267" s="324"/>
      <c r="G267" s="68">
        <f>ROUND(14*11.85+3.2*1.6,2)</f>
        <v>171.02</v>
      </c>
      <c r="H267" s="69" t="str">
        <f>Planilha!F75</f>
        <v>M²</v>
      </c>
    </row>
    <row r="268" spans="1:8" ht="5.25" customHeight="1">
      <c r="C268" s="47"/>
      <c r="D268" s="47"/>
      <c r="E268" s="80"/>
      <c r="F268" s="80"/>
    </row>
    <row r="269" spans="1:8" s="25" customFormat="1" ht="14.25" customHeight="1">
      <c r="A269" s="82" t="str">
        <f>Planilha!A71</f>
        <v>6.3</v>
      </c>
      <c r="B269" s="321" t="str">
        <f>Planilha!D71</f>
        <v>CUMEEIRA NORMAL P/ TELHA TECNOLOGIA CRFS ONDULADA USO EXCLUSIVO</v>
      </c>
      <c r="C269" s="321"/>
      <c r="D269" s="321"/>
      <c r="E269" s="321"/>
      <c r="F269" s="321"/>
      <c r="G269" s="321"/>
      <c r="H269" s="322"/>
    </row>
    <row r="270" spans="1:8" ht="14.25" customHeight="1" outlineLevel="1">
      <c r="A270" s="72"/>
      <c r="B270" s="318" t="s">
        <v>159</v>
      </c>
      <c r="C270" s="318"/>
      <c r="D270" s="318"/>
      <c r="E270" s="318"/>
      <c r="F270" s="318"/>
      <c r="G270" s="318"/>
      <c r="H270" s="335"/>
    </row>
    <row r="271" spans="1:8" ht="14.25" customHeight="1" outlineLevel="1">
      <c r="A271" s="72"/>
      <c r="B271" s="318" t="s">
        <v>144</v>
      </c>
      <c r="C271" s="318"/>
      <c r="D271" s="318"/>
      <c r="E271" s="314">
        <v>24.84</v>
      </c>
      <c r="F271" s="314"/>
      <c r="G271" s="315"/>
      <c r="H271" s="316"/>
    </row>
    <row r="272" spans="1:8" ht="14.25" customHeight="1" outlineLevel="1">
      <c r="A272" s="72"/>
      <c r="B272" s="318" t="s">
        <v>160</v>
      </c>
      <c r="C272" s="318"/>
      <c r="D272" s="318"/>
      <c r="E272" s="314"/>
      <c r="F272" s="314"/>
      <c r="G272" s="315"/>
      <c r="H272" s="316"/>
    </row>
    <row r="273" spans="1:8" ht="14.25" customHeight="1" outlineLevel="1">
      <c r="A273" s="72"/>
      <c r="B273" s="318" t="s">
        <v>144</v>
      </c>
      <c r="C273" s="318"/>
      <c r="D273" s="318"/>
      <c r="E273" s="314">
        <v>4.8</v>
      </c>
      <c r="F273" s="314"/>
      <c r="G273" s="315"/>
      <c r="H273" s="316"/>
    </row>
    <row r="274" spans="1:8" ht="14.25" customHeight="1" outlineLevel="1">
      <c r="A274" s="65" t="str">
        <f>$L$8</f>
        <v>Conta</v>
      </c>
      <c r="B274" s="317" t="s">
        <v>226</v>
      </c>
      <c r="C274" s="317"/>
      <c r="D274" s="317"/>
      <c r="E274" s="324" t="s">
        <v>123</v>
      </c>
      <c r="F274" s="324"/>
      <c r="G274" s="68">
        <f>ROUND(24.84+4.8,2)</f>
        <v>29.64</v>
      </c>
      <c r="H274" s="69" t="str">
        <f>Planilha!F71</f>
        <v>M</v>
      </c>
    </row>
    <row r="275" spans="1:8" ht="5.25" customHeight="1">
      <c r="C275" s="47"/>
      <c r="D275" s="47"/>
      <c r="E275" s="80"/>
      <c r="F275" s="80"/>
    </row>
    <row r="276" spans="1:8" s="25" customFormat="1" ht="14.25" customHeight="1">
      <c r="A276" s="82" t="e">
        <f>Planilha!#REF!</f>
        <v>#REF!</v>
      </c>
      <c r="B276" s="321" t="e">
        <f>Planilha!#REF!</f>
        <v>#REF!</v>
      </c>
      <c r="C276" s="321"/>
      <c r="D276" s="321"/>
      <c r="E276" s="321"/>
      <c r="F276" s="321"/>
      <c r="G276" s="321"/>
      <c r="H276" s="322"/>
    </row>
    <row r="277" spans="1:8" ht="14.25" customHeight="1" outlineLevel="1">
      <c r="A277" s="72"/>
      <c r="B277" s="318" t="s">
        <v>161</v>
      </c>
      <c r="C277" s="318"/>
      <c r="D277" s="318"/>
      <c r="E277" s="318"/>
      <c r="F277" s="318"/>
      <c r="G277" s="318"/>
      <c r="H277" s="335"/>
    </row>
    <row r="278" spans="1:8" ht="14.25" customHeight="1" outlineLevel="1">
      <c r="A278" s="72"/>
      <c r="B278" s="318" t="s">
        <v>144</v>
      </c>
      <c r="C278" s="318"/>
      <c r="D278" s="318"/>
      <c r="E278" s="314">
        <v>50.9</v>
      </c>
      <c r="F278" s="314"/>
      <c r="G278" s="315"/>
      <c r="H278" s="316"/>
    </row>
    <row r="279" spans="1:8" ht="14.25" customHeight="1" outlineLevel="1">
      <c r="A279" s="65" t="str">
        <f>$L$8</f>
        <v>Conta</v>
      </c>
      <c r="B279" s="317">
        <v>50.9</v>
      </c>
      <c r="C279" s="317"/>
      <c r="D279" s="317"/>
      <c r="E279" s="324" t="s">
        <v>123</v>
      </c>
      <c r="F279" s="324"/>
      <c r="G279" s="68">
        <v>50.9</v>
      </c>
      <c r="H279" s="69" t="e">
        <f>Planilha!#REF!</f>
        <v>#REF!</v>
      </c>
    </row>
    <row r="280" spans="1:8" ht="5.25" customHeight="1">
      <c r="C280" s="47"/>
      <c r="D280" s="47"/>
      <c r="E280" s="80"/>
      <c r="F280" s="80"/>
    </row>
    <row r="281" spans="1:8" s="25" customFormat="1" ht="14.25" customHeight="1">
      <c r="A281" s="71">
        <f>Planilha!A72</f>
        <v>7</v>
      </c>
      <c r="B281" s="328" t="str">
        <f>Planilha!D72</f>
        <v>REVESTIMENTO</v>
      </c>
      <c r="C281" s="328"/>
      <c r="D281" s="328"/>
      <c r="E281" s="328"/>
      <c r="F281" s="328"/>
      <c r="G281" s="328"/>
      <c r="H281" s="328"/>
    </row>
    <row r="282" spans="1:8" ht="5.25" customHeight="1">
      <c r="C282" s="47"/>
      <c r="D282" s="47"/>
      <c r="E282" s="80"/>
      <c r="F282" s="80"/>
    </row>
    <row r="283" spans="1:8" s="25" customFormat="1" ht="25.5" customHeight="1">
      <c r="A283" s="73" t="str">
        <f>Planilha!A73</f>
        <v>7.1</v>
      </c>
      <c r="B283" s="319" t="str">
        <f>Planilha!D73</f>
        <v>CHAPISCO</v>
      </c>
      <c r="C283" s="319"/>
      <c r="D283" s="319"/>
      <c r="E283" s="319"/>
      <c r="F283" s="319"/>
      <c r="G283" s="319"/>
      <c r="H283" s="320"/>
    </row>
    <row r="284" spans="1:8" ht="14.25" customHeight="1" outlineLevel="1">
      <c r="A284" s="72"/>
      <c r="B284" s="318" t="s">
        <v>163</v>
      </c>
      <c r="C284" s="318"/>
      <c r="D284" s="318"/>
      <c r="E284" s="314">
        <v>31.15</v>
      </c>
      <c r="F284" s="314"/>
      <c r="G284" s="315" t="s">
        <v>39</v>
      </c>
      <c r="H284" s="316"/>
    </row>
    <row r="285" spans="1:8" ht="14.25" customHeight="1" outlineLevel="1">
      <c r="A285" s="72"/>
      <c r="B285" s="318" t="s">
        <v>126</v>
      </c>
      <c r="C285" s="318"/>
      <c r="D285" s="318"/>
      <c r="E285" s="314">
        <v>2.2999999999999998</v>
      </c>
      <c r="F285" s="314"/>
      <c r="G285" s="315" t="s">
        <v>39</v>
      </c>
      <c r="H285" s="316"/>
    </row>
    <row r="286" spans="1:8" ht="14.25" customHeight="1">
      <c r="A286" s="72"/>
      <c r="B286" s="318" t="s">
        <v>162</v>
      </c>
      <c r="C286" s="318"/>
      <c r="D286" s="318"/>
      <c r="E286" s="314">
        <v>47.51</v>
      </c>
      <c r="F286" s="314"/>
      <c r="G286" s="315" t="s">
        <v>39</v>
      </c>
      <c r="H286" s="316"/>
    </row>
    <row r="287" spans="1:8" s="25" customFormat="1" ht="14.25" customHeight="1">
      <c r="A287" s="72"/>
      <c r="B287" s="318" t="s">
        <v>126</v>
      </c>
      <c r="C287" s="318"/>
      <c r="D287" s="318"/>
      <c r="E287" s="314">
        <v>3</v>
      </c>
      <c r="F287" s="314"/>
      <c r="G287" s="315" t="s">
        <v>39</v>
      </c>
      <c r="H287" s="316"/>
    </row>
    <row r="288" spans="1:8" ht="14.25" customHeight="1">
      <c r="A288" s="65" t="str">
        <f>$L$8</f>
        <v>Conta</v>
      </c>
      <c r="B288" s="317" t="s">
        <v>229</v>
      </c>
      <c r="C288" s="317"/>
      <c r="D288" s="317"/>
      <c r="E288" s="324" t="s">
        <v>123</v>
      </c>
      <c r="F288" s="324"/>
      <c r="G288" s="68">
        <f>ROUND(31.15*2.3*2+47.51*3,2)</f>
        <v>285.82</v>
      </c>
      <c r="H288" s="69" t="str">
        <f>Planilha!F73</f>
        <v>M²</v>
      </c>
    </row>
    <row r="289" spans="1:8" ht="5.25" customHeight="1" outlineLevel="1">
      <c r="A289" s="8"/>
      <c r="B289" s="51"/>
      <c r="C289" s="51"/>
      <c r="D289" s="51"/>
      <c r="E289" s="52"/>
      <c r="F289" s="52"/>
      <c r="G289" s="15"/>
      <c r="H289" s="8"/>
    </row>
    <row r="290" spans="1:8" ht="25.5" customHeight="1" outlineLevel="1">
      <c r="A290" s="73" t="str">
        <f>Planilha!A74</f>
        <v>7.2</v>
      </c>
      <c r="B290" s="319" t="str">
        <f>Planilha!D74</f>
        <v>EMBOCO</v>
      </c>
      <c r="C290" s="319"/>
      <c r="D290" s="319"/>
      <c r="E290" s="319"/>
      <c r="F290" s="319"/>
      <c r="G290" s="319"/>
      <c r="H290" s="320"/>
    </row>
    <row r="291" spans="1:8" ht="14.25" customHeight="1" outlineLevel="1">
      <c r="A291" s="72"/>
      <c r="B291" s="318" t="s">
        <v>162</v>
      </c>
      <c r="C291" s="318"/>
      <c r="D291" s="318"/>
      <c r="E291" s="314">
        <v>50.1</v>
      </c>
      <c r="F291" s="314"/>
      <c r="G291" s="315" t="s">
        <v>39</v>
      </c>
      <c r="H291" s="316"/>
    </row>
    <row r="292" spans="1:8" ht="14.25" customHeight="1" outlineLevel="1">
      <c r="A292" s="72"/>
      <c r="B292" s="318" t="s">
        <v>126</v>
      </c>
      <c r="C292" s="318"/>
      <c r="D292" s="318"/>
      <c r="E292" s="314">
        <v>3</v>
      </c>
      <c r="F292" s="314"/>
      <c r="G292" s="315" t="s">
        <v>39</v>
      </c>
      <c r="H292" s="316"/>
    </row>
    <row r="293" spans="1:8" ht="14.25" customHeight="1" outlineLevel="1">
      <c r="A293" s="65" t="str">
        <f>$L$8</f>
        <v>Conta</v>
      </c>
      <c r="B293" s="317" t="s">
        <v>228</v>
      </c>
      <c r="C293" s="317"/>
      <c r="D293" s="317"/>
      <c r="E293" s="317" t="s">
        <v>123</v>
      </c>
      <c r="F293" s="317"/>
      <c r="G293" s="66">
        <f>ROUND(50.1*3,2)</f>
        <v>150.30000000000001</v>
      </c>
      <c r="H293" s="67" t="str">
        <f>Planilha!F74</f>
        <v>M²</v>
      </c>
    </row>
    <row r="294" spans="1:8" ht="5.25" customHeight="1" outlineLevel="1">
      <c r="C294" s="47"/>
      <c r="D294" s="47"/>
      <c r="E294" s="80"/>
      <c r="F294" s="80"/>
    </row>
    <row r="295" spans="1:8" ht="14.25" customHeight="1" outlineLevel="1">
      <c r="A295" s="82" t="str">
        <f>Planilha!A75</f>
        <v>7.3</v>
      </c>
      <c r="B295" s="321" t="str">
        <f>Planilha!D75</f>
        <v>REBOCO</v>
      </c>
      <c r="C295" s="321"/>
      <c r="D295" s="321"/>
      <c r="E295" s="321"/>
      <c r="F295" s="321"/>
      <c r="G295" s="321"/>
      <c r="H295" s="322"/>
    </row>
    <row r="296" spans="1:8" ht="14.25" customHeight="1" outlineLevel="1">
      <c r="A296" s="72"/>
      <c r="B296" s="318" t="s">
        <v>230</v>
      </c>
      <c r="C296" s="318"/>
      <c r="D296" s="318"/>
      <c r="E296" s="314">
        <v>31.15</v>
      </c>
      <c r="F296" s="314"/>
      <c r="G296" s="315" t="s">
        <v>39</v>
      </c>
      <c r="H296" s="316"/>
    </row>
    <row r="297" spans="1:8" ht="14.25" customHeight="1" outlineLevel="1">
      <c r="A297" s="72"/>
      <c r="B297" s="318" t="s">
        <v>126</v>
      </c>
      <c r="C297" s="318"/>
      <c r="D297" s="318"/>
      <c r="E297" s="314">
        <v>2.2999999999999998</v>
      </c>
      <c r="F297" s="314"/>
      <c r="G297" s="315" t="s">
        <v>39</v>
      </c>
      <c r="H297" s="316"/>
    </row>
    <row r="298" spans="1:8" ht="14.25" customHeight="1" outlineLevel="1">
      <c r="A298" s="72"/>
      <c r="B298" s="318" t="s">
        <v>231</v>
      </c>
      <c r="C298" s="318"/>
      <c r="D298" s="318"/>
      <c r="E298" s="314">
        <v>50.1</v>
      </c>
      <c r="F298" s="314"/>
      <c r="G298" s="315"/>
      <c r="H298" s="316"/>
    </row>
    <row r="299" spans="1:8" ht="14.25" customHeight="1" outlineLevel="1">
      <c r="A299" s="72"/>
      <c r="B299" s="318" t="s">
        <v>126</v>
      </c>
      <c r="C299" s="318"/>
      <c r="D299" s="318"/>
      <c r="E299" s="314">
        <v>3</v>
      </c>
      <c r="F299" s="314"/>
      <c r="G299" s="315"/>
      <c r="H299" s="316"/>
    </row>
    <row r="300" spans="1:8" ht="14.25" customHeight="1" outlineLevel="1">
      <c r="A300" s="74" t="s">
        <v>202</v>
      </c>
      <c r="B300" s="317" t="s">
        <v>232</v>
      </c>
      <c r="C300" s="317"/>
      <c r="D300" s="317"/>
      <c r="E300" s="324" t="s">
        <v>123</v>
      </c>
      <c r="F300" s="324"/>
      <c r="G300" s="68">
        <f>ROUND(31.15*2.3*(2)+50.1*3*(2),2)</f>
        <v>443.89</v>
      </c>
      <c r="H300" s="69" t="str">
        <f>Planilha!F75</f>
        <v>M²</v>
      </c>
    </row>
    <row r="301" spans="1:8" ht="5.25" customHeight="1" outlineLevel="1">
      <c r="C301" s="47"/>
      <c r="D301" s="47"/>
      <c r="E301" s="80"/>
      <c r="F301" s="80"/>
    </row>
    <row r="302" spans="1:8" ht="25.5" customHeight="1">
      <c r="A302" s="73" t="str">
        <f>Planilha!A76</f>
        <v>7.4</v>
      </c>
      <c r="B302" s="319" t="str">
        <f>Planilha!D76</f>
        <v>GRANILITE CINZA / CIMENTO COMUM 8MM C/ POLIMENTO</v>
      </c>
      <c r="C302" s="319"/>
      <c r="D302" s="319"/>
      <c r="E302" s="319"/>
      <c r="F302" s="319"/>
      <c r="G302" s="319"/>
      <c r="H302" s="320"/>
    </row>
    <row r="303" spans="1:8" s="25" customFormat="1" ht="14.25" customHeight="1">
      <c r="A303" s="72"/>
      <c r="B303" s="318" t="s">
        <v>164</v>
      </c>
      <c r="C303" s="318"/>
      <c r="D303" s="318"/>
      <c r="E303" s="314">
        <v>3.7</v>
      </c>
      <c r="F303" s="314"/>
      <c r="G303" s="315" t="s">
        <v>32</v>
      </c>
      <c r="H303" s="316"/>
    </row>
    <row r="304" spans="1:8" ht="14.25" customHeight="1" outlineLevel="1">
      <c r="A304" s="72"/>
      <c r="B304" s="318" t="s">
        <v>165</v>
      </c>
      <c r="C304" s="318"/>
      <c r="D304" s="318"/>
      <c r="E304" s="314">
        <v>4.13</v>
      </c>
      <c r="F304" s="314"/>
      <c r="G304" s="315" t="s">
        <v>32</v>
      </c>
      <c r="H304" s="316"/>
    </row>
    <row r="305" spans="1:8" ht="14.25" customHeight="1" outlineLevel="1">
      <c r="A305" s="72"/>
      <c r="B305" s="318" t="s">
        <v>166</v>
      </c>
      <c r="C305" s="318"/>
      <c r="D305" s="318"/>
      <c r="E305" s="314">
        <v>5.51</v>
      </c>
      <c r="F305" s="314"/>
      <c r="G305" s="315" t="s">
        <v>32</v>
      </c>
      <c r="H305" s="316"/>
    </row>
    <row r="306" spans="1:8" ht="14.25" customHeight="1" outlineLevel="1">
      <c r="A306" s="72"/>
      <c r="B306" s="318" t="s">
        <v>167</v>
      </c>
      <c r="C306" s="318"/>
      <c r="D306" s="318"/>
      <c r="E306" s="314">
        <v>1.25</v>
      </c>
      <c r="F306" s="314"/>
      <c r="G306" s="315" t="s">
        <v>32</v>
      </c>
      <c r="H306" s="316"/>
    </row>
    <row r="307" spans="1:8" ht="14.25" customHeight="1">
      <c r="A307" s="65" t="str">
        <f>$L$8</f>
        <v>Conta</v>
      </c>
      <c r="B307" s="317" t="s">
        <v>227</v>
      </c>
      <c r="C307" s="317"/>
      <c r="D307" s="317"/>
      <c r="E307" s="324" t="s">
        <v>123</v>
      </c>
      <c r="F307" s="324"/>
      <c r="G307" s="68">
        <f>ROUND(3.7+4.13+5.51+1.25,2)</f>
        <v>14.59</v>
      </c>
      <c r="H307" s="69" t="str">
        <f>Planilha!F76</f>
        <v>M²</v>
      </c>
    </row>
    <row r="308" spans="1:8" ht="5.25" customHeight="1" outlineLevel="1">
      <c r="C308" s="47"/>
      <c r="D308" s="47"/>
      <c r="E308" s="80"/>
      <c r="F308" s="80"/>
    </row>
    <row r="309" spans="1:8" ht="25.5" customHeight="1" outlineLevel="1">
      <c r="A309" s="73" t="str">
        <f>Planilha!A77</f>
        <v>7.5</v>
      </c>
      <c r="B309" s="319" t="str">
        <f>Planilha!D77</f>
        <v>RODAPES DE GRANILITE SIMPLES DE 10 CM</v>
      </c>
      <c r="C309" s="319"/>
      <c r="D309" s="319"/>
      <c r="E309" s="319"/>
      <c r="F309" s="319"/>
      <c r="G309" s="319"/>
      <c r="H309" s="320"/>
    </row>
    <row r="310" spans="1:8" ht="14.25" customHeight="1" outlineLevel="1">
      <c r="A310" s="72"/>
      <c r="B310" s="318" t="s">
        <v>168</v>
      </c>
      <c r="C310" s="318"/>
      <c r="D310" s="318"/>
      <c r="E310" s="314">
        <v>19.18</v>
      </c>
      <c r="F310" s="314"/>
      <c r="G310" s="315" t="s">
        <v>32</v>
      </c>
      <c r="H310" s="316"/>
    </row>
    <row r="311" spans="1:8" ht="14.25" customHeight="1" outlineLevel="1">
      <c r="A311" s="72"/>
      <c r="B311" s="318" t="s">
        <v>169</v>
      </c>
      <c r="C311" s="318"/>
      <c r="D311" s="318"/>
      <c r="E311" s="314">
        <v>25</v>
      </c>
      <c r="F311" s="314"/>
      <c r="G311" s="315" t="s">
        <v>32</v>
      </c>
      <c r="H311" s="316"/>
    </row>
    <row r="312" spans="1:8" ht="14.25" customHeight="1" outlineLevel="1">
      <c r="A312" s="72"/>
      <c r="B312" s="318" t="s">
        <v>171</v>
      </c>
      <c r="C312" s="318"/>
      <c r="D312" s="318"/>
      <c r="E312" s="314">
        <v>35.75</v>
      </c>
      <c r="F312" s="314"/>
      <c r="G312" s="315" t="s">
        <v>32</v>
      </c>
      <c r="H312" s="316"/>
    </row>
    <row r="313" spans="1:8" ht="14.25" customHeight="1" outlineLevel="1">
      <c r="A313" s="72"/>
      <c r="B313" s="318" t="s">
        <v>170</v>
      </c>
      <c r="C313" s="318"/>
      <c r="D313" s="318"/>
      <c r="E313" s="314">
        <v>25</v>
      </c>
      <c r="F313" s="314"/>
      <c r="G313" s="315" t="s">
        <v>32</v>
      </c>
      <c r="H313" s="316"/>
    </row>
    <row r="314" spans="1:8" ht="14.25" customHeight="1">
      <c r="A314" s="65" t="str">
        <f>$L$8</f>
        <v>Conta</v>
      </c>
      <c r="B314" s="317" t="s">
        <v>172</v>
      </c>
      <c r="C314" s="317"/>
      <c r="D314" s="317"/>
      <c r="E314" s="324" t="s">
        <v>123</v>
      </c>
      <c r="F314" s="324"/>
      <c r="G314" s="68">
        <f>ROUND(19.18+25+35.75+25,2)</f>
        <v>104.93</v>
      </c>
      <c r="H314" s="69" t="str">
        <f>Planilha!F77</f>
        <v>M</v>
      </c>
    </row>
    <row r="315" spans="1:8" ht="5.25" customHeight="1" outlineLevel="1">
      <c r="C315" s="47"/>
      <c r="D315" s="47"/>
      <c r="E315" s="80"/>
      <c r="F315" s="80"/>
    </row>
    <row r="316" spans="1:8" ht="25.5" customHeight="1" outlineLevel="1">
      <c r="A316" s="73" t="str">
        <f>Planilha!A79</f>
        <v>7.7</v>
      </c>
      <c r="B316" s="319" t="str">
        <f>Planilha!D79</f>
        <v>REVESTIMENTO COM AZULEJOS LISOS, BRANCO BRILHANTE</v>
      </c>
      <c r="C316" s="319"/>
      <c r="D316" s="319"/>
      <c r="E316" s="319"/>
      <c r="F316" s="319"/>
      <c r="G316" s="319"/>
      <c r="H316" s="320"/>
    </row>
    <row r="317" spans="1:8" ht="14.25" customHeight="1" outlineLevel="1">
      <c r="A317" s="72"/>
      <c r="B317" s="318" t="s">
        <v>173</v>
      </c>
      <c r="C317" s="318"/>
      <c r="D317" s="318"/>
      <c r="E317" s="314"/>
      <c r="F317" s="314"/>
      <c r="G317" s="315"/>
      <c r="H317" s="316"/>
    </row>
    <row r="318" spans="1:8" ht="14.25" customHeight="1" outlineLevel="1">
      <c r="A318" s="72"/>
      <c r="B318" s="315" t="s">
        <v>175</v>
      </c>
      <c r="C318" s="315"/>
      <c r="D318" s="315"/>
      <c r="E318" s="314">
        <v>10.199999999999999</v>
      </c>
      <c r="F318" s="314"/>
      <c r="G318" s="315" t="s">
        <v>32</v>
      </c>
      <c r="H318" s="316"/>
    </row>
    <row r="319" spans="1:8" ht="14.25" customHeight="1" outlineLevel="1">
      <c r="A319" s="72"/>
      <c r="B319" s="315" t="s">
        <v>174</v>
      </c>
      <c r="C319" s="315"/>
      <c r="D319" s="315"/>
      <c r="E319" s="314">
        <v>7.14</v>
      </c>
      <c r="F319" s="314"/>
      <c r="G319" s="315" t="s">
        <v>32</v>
      </c>
      <c r="H319" s="316"/>
    </row>
    <row r="320" spans="1:8" ht="14.25" customHeight="1" outlineLevel="1">
      <c r="A320" s="72"/>
      <c r="B320" s="318" t="s">
        <v>176</v>
      </c>
      <c r="C320" s="318"/>
      <c r="D320" s="318"/>
      <c r="E320" s="314"/>
      <c r="F320" s="314"/>
      <c r="G320" s="315"/>
      <c r="H320" s="316"/>
    </row>
    <row r="321" spans="1:8" ht="14.25" customHeight="1">
      <c r="A321" s="72"/>
      <c r="B321" s="315" t="s">
        <v>182</v>
      </c>
      <c r="C321" s="315"/>
      <c r="D321" s="315"/>
      <c r="E321" s="314">
        <v>5.98</v>
      </c>
      <c r="F321" s="314"/>
      <c r="G321" s="315" t="s">
        <v>32</v>
      </c>
      <c r="H321" s="316"/>
    </row>
    <row r="322" spans="1:8" ht="25.5" customHeight="1" outlineLevel="1">
      <c r="A322" s="72"/>
      <c r="B322" s="315" t="s">
        <v>177</v>
      </c>
      <c r="C322" s="315"/>
      <c r="D322" s="315"/>
      <c r="E322" s="314">
        <v>5.0999999999999996</v>
      </c>
      <c r="F322" s="314"/>
      <c r="G322" s="315" t="s">
        <v>32</v>
      </c>
      <c r="H322" s="316"/>
    </row>
    <row r="323" spans="1:8" ht="14.25" customHeight="1" outlineLevel="1">
      <c r="A323" s="72"/>
      <c r="B323" s="315" t="s">
        <v>181</v>
      </c>
      <c r="C323" s="315"/>
      <c r="D323" s="315"/>
      <c r="E323" s="314">
        <v>3.57</v>
      </c>
      <c r="F323" s="314"/>
      <c r="G323" s="315" t="s">
        <v>32</v>
      </c>
      <c r="H323" s="316"/>
    </row>
    <row r="324" spans="1:8" ht="14.25" customHeight="1" outlineLevel="1">
      <c r="A324" s="72"/>
      <c r="B324" s="315" t="s">
        <v>178</v>
      </c>
      <c r="C324" s="315"/>
      <c r="D324" s="315"/>
      <c r="E324" s="314">
        <v>2.58</v>
      </c>
      <c r="F324" s="314"/>
      <c r="G324" s="315" t="s">
        <v>32</v>
      </c>
      <c r="H324" s="316"/>
    </row>
    <row r="325" spans="1:8" ht="14.25" customHeight="1" outlineLevel="1">
      <c r="A325" s="72"/>
      <c r="B325" s="315" t="s">
        <v>180</v>
      </c>
      <c r="C325" s="315"/>
      <c r="D325" s="315"/>
      <c r="E325" s="314">
        <v>2.52</v>
      </c>
      <c r="F325" s="314"/>
      <c r="G325" s="315" t="s">
        <v>32</v>
      </c>
      <c r="H325" s="316"/>
    </row>
    <row r="326" spans="1:8" ht="14.25" customHeight="1" outlineLevel="1">
      <c r="A326" s="72"/>
      <c r="B326" s="315" t="s">
        <v>179</v>
      </c>
      <c r="C326" s="315"/>
      <c r="D326" s="315"/>
      <c r="E326" s="314">
        <v>2.41</v>
      </c>
      <c r="F326" s="314"/>
      <c r="G326" s="315" t="s">
        <v>32</v>
      </c>
      <c r="H326" s="316"/>
    </row>
    <row r="327" spans="1:8" ht="14.25" customHeight="1" outlineLevel="1">
      <c r="A327" s="72"/>
      <c r="B327" s="318" t="s">
        <v>183</v>
      </c>
      <c r="C327" s="318"/>
      <c r="D327" s="318"/>
      <c r="E327" s="314"/>
      <c r="F327" s="314"/>
      <c r="G327" s="315"/>
      <c r="H327" s="316"/>
    </row>
    <row r="328" spans="1:8" ht="14.25" customHeight="1" outlineLevel="1">
      <c r="A328" s="72"/>
      <c r="B328" s="315" t="s">
        <v>233</v>
      </c>
      <c r="C328" s="315"/>
      <c r="D328" s="315"/>
      <c r="E328" s="314">
        <v>0.6</v>
      </c>
      <c r="F328" s="314"/>
      <c r="G328" s="315" t="s">
        <v>32</v>
      </c>
      <c r="H328" s="316"/>
    </row>
    <row r="329" spans="1:8" ht="14.25" customHeight="1" outlineLevel="1">
      <c r="A329" s="72"/>
      <c r="B329" s="315" t="s">
        <v>234</v>
      </c>
      <c r="C329" s="315"/>
      <c r="D329" s="315"/>
      <c r="E329" s="314">
        <v>0.6</v>
      </c>
      <c r="F329" s="314"/>
      <c r="G329" s="315" t="s">
        <v>32</v>
      </c>
      <c r="H329" s="316"/>
    </row>
    <row r="330" spans="1:8" ht="14.25" customHeight="1" outlineLevel="1">
      <c r="A330" s="65" t="str">
        <f>$L$8</f>
        <v>Conta</v>
      </c>
      <c r="B330" s="317" t="s">
        <v>235</v>
      </c>
      <c r="C330" s="317"/>
      <c r="D330" s="317"/>
      <c r="E330" s="324" t="s">
        <v>123</v>
      </c>
      <c r="F330" s="324"/>
      <c r="G330" s="68">
        <f>ROUND(10.2+7.14+5.98+5.1+3.57+2.58+2.52+2.41-0.6-0.6,2)</f>
        <v>38.299999999999997</v>
      </c>
      <c r="H330" s="69" t="str">
        <f>Planilha!F79</f>
        <v>M²</v>
      </c>
    </row>
    <row r="331" spans="1:8" ht="5.25" customHeight="1" outlineLevel="1">
      <c r="C331" s="47"/>
      <c r="D331" s="47"/>
      <c r="E331" s="80"/>
      <c r="F331" s="80"/>
    </row>
    <row r="332" spans="1:8" ht="14.25" customHeight="1" outlineLevel="1">
      <c r="A332" s="71">
        <f>Planilha!A82</f>
        <v>9</v>
      </c>
      <c r="B332" s="328" t="str">
        <f>Planilha!D82</f>
        <v>PAVIMENTAÇÃO INTERNA</v>
      </c>
      <c r="C332" s="328"/>
      <c r="D332" s="328"/>
      <c r="E332" s="328"/>
      <c r="F332" s="328"/>
      <c r="G332" s="328"/>
      <c r="H332" s="328"/>
    </row>
    <row r="333" spans="1:8" ht="5.25" customHeight="1" outlineLevel="1">
      <c r="C333" s="47"/>
      <c r="D333" s="47"/>
      <c r="E333" s="80"/>
      <c r="F333" s="80"/>
    </row>
    <row r="334" spans="1:8" ht="14.25" customHeight="1" outlineLevel="1">
      <c r="A334" s="82" t="str">
        <f>Planilha!A83</f>
        <v>9.1</v>
      </c>
      <c r="B334" s="321" t="str">
        <f>Planilha!D83</f>
        <v>LASTRO DE PEDRA BRITADA - 5CM</v>
      </c>
      <c r="C334" s="321"/>
      <c r="D334" s="321"/>
      <c r="E334" s="321"/>
      <c r="F334" s="321"/>
      <c r="G334" s="321"/>
      <c r="H334" s="322"/>
    </row>
    <row r="335" spans="1:8" ht="14.25" customHeight="1" outlineLevel="1">
      <c r="A335" s="72"/>
      <c r="B335" s="318" t="s">
        <v>164</v>
      </c>
      <c r="C335" s="318"/>
      <c r="D335" s="318"/>
      <c r="E335" s="314">
        <v>3.7</v>
      </c>
      <c r="F335" s="314"/>
      <c r="G335" s="315" t="s">
        <v>32</v>
      </c>
      <c r="H335" s="316"/>
    </row>
    <row r="336" spans="1:8" ht="14.25" customHeight="1" outlineLevel="1">
      <c r="A336" s="72"/>
      <c r="B336" s="318" t="s">
        <v>165</v>
      </c>
      <c r="C336" s="318"/>
      <c r="D336" s="318"/>
      <c r="E336" s="314">
        <v>4.13</v>
      </c>
      <c r="F336" s="314"/>
      <c r="G336" s="315" t="s">
        <v>32</v>
      </c>
      <c r="H336" s="316"/>
    </row>
    <row r="337" spans="1:8" ht="14.25" customHeight="1">
      <c r="A337" s="72"/>
      <c r="B337" s="318" t="s">
        <v>166</v>
      </c>
      <c r="C337" s="318"/>
      <c r="D337" s="318"/>
      <c r="E337" s="314">
        <v>5.5</v>
      </c>
      <c r="F337" s="314"/>
      <c r="G337" s="315" t="s">
        <v>32</v>
      </c>
      <c r="H337" s="316"/>
    </row>
    <row r="338" spans="1:8" s="25" customFormat="1" ht="14.25" customHeight="1">
      <c r="A338" s="72"/>
      <c r="B338" s="318" t="s">
        <v>236</v>
      </c>
      <c r="C338" s="318"/>
      <c r="D338" s="318"/>
      <c r="E338" s="314">
        <v>1.25</v>
      </c>
      <c r="F338" s="314"/>
      <c r="G338" s="315" t="s">
        <v>32</v>
      </c>
      <c r="H338" s="316"/>
    </row>
    <row r="339" spans="1:8" ht="14.25" customHeight="1">
      <c r="A339" s="72"/>
      <c r="B339" s="318" t="s">
        <v>168</v>
      </c>
      <c r="C339" s="318"/>
      <c r="D339" s="318"/>
      <c r="E339" s="314">
        <v>19.18</v>
      </c>
      <c r="F339" s="314"/>
      <c r="G339" s="315" t="s">
        <v>32</v>
      </c>
      <c r="H339" s="316"/>
    </row>
    <row r="340" spans="1:8" s="25" customFormat="1" ht="14.25" customHeight="1">
      <c r="A340" s="72"/>
      <c r="B340" s="318" t="s">
        <v>169</v>
      </c>
      <c r="C340" s="318"/>
      <c r="D340" s="318"/>
      <c r="E340" s="314">
        <v>25</v>
      </c>
      <c r="F340" s="314"/>
      <c r="G340" s="315" t="s">
        <v>32</v>
      </c>
      <c r="H340" s="316"/>
    </row>
    <row r="341" spans="1:8" ht="14.25" customHeight="1" outlineLevel="1">
      <c r="A341" s="72"/>
      <c r="B341" s="318" t="s">
        <v>171</v>
      </c>
      <c r="C341" s="318"/>
      <c r="D341" s="318"/>
      <c r="E341" s="314">
        <v>35.75</v>
      </c>
      <c r="F341" s="314"/>
      <c r="G341" s="315" t="s">
        <v>32</v>
      </c>
      <c r="H341" s="316"/>
    </row>
    <row r="342" spans="1:8" ht="14.25" customHeight="1" outlineLevel="1">
      <c r="A342" s="72"/>
      <c r="B342" s="318" t="s">
        <v>170</v>
      </c>
      <c r="C342" s="318"/>
      <c r="D342" s="318"/>
      <c r="E342" s="314">
        <v>25</v>
      </c>
      <c r="F342" s="314"/>
      <c r="G342" s="315" t="s">
        <v>32</v>
      </c>
      <c r="H342" s="316"/>
    </row>
    <row r="343" spans="1:8" ht="14.25" customHeight="1" outlineLevel="1">
      <c r="A343" s="72"/>
      <c r="B343" s="318" t="s">
        <v>184</v>
      </c>
      <c r="C343" s="318"/>
      <c r="D343" s="318"/>
      <c r="E343" s="314">
        <v>50.1</v>
      </c>
      <c r="F343" s="314"/>
      <c r="G343" s="315" t="s">
        <v>32</v>
      </c>
      <c r="H343" s="316"/>
    </row>
    <row r="344" spans="1:8" ht="14.25" customHeight="1" outlineLevel="1">
      <c r="A344" s="72"/>
      <c r="B344" s="318" t="s">
        <v>147</v>
      </c>
      <c r="C344" s="318"/>
      <c r="D344" s="318"/>
      <c r="E344" s="314">
        <v>0.02</v>
      </c>
      <c r="F344" s="314"/>
      <c r="G344" s="315" t="s">
        <v>39</v>
      </c>
      <c r="H344" s="316"/>
    </row>
    <row r="345" spans="1:8" ht="14.25" customHeight="1" outlineLevel="1">
      <c r="A345" s="65" t="str">
        <f>$L$8</f>
        <v>Conta</v>
      </c>
      <c r="B345" s="317" t="s">
        <v>185</v>
      </c>
      <c r="C345" s="317"/>
      <c r="D345" s="317"/>
      <c r="E345" s="324" t="s">
        <v>123</v>
      </c>
      <c r="F345" s="324"/>
      <c r="G345" s="68">
        <f>ROUND(3.7+4.13+5.5+1.25+19.18+25+35.75+25+50.1*(0.02),2)</f>
        <v>120.51</v>
      </c>
      <c r="H345" s="69" t="str">
        <f>Planilha!F83</f>
        <v>M²</v>
      </c>
    </row>
    <row r="346" spans="1:8" ht="5.25" customHeight="1" outlineLevel="1">
      <c r="C346" s="47"/>
      <c r="D346" s="47"/>
      <c r="E346" s="80"/>
      <c r="F346" s="80"/>
    </row>
    <row r="347" spans="1:8" ht="14.25" customHeight="1" outlineLevel="1">
      <c r="A347" s="82" t="str">
        <f>Planilha!A84</f>
        <v>9.2</v>
      </c>
      <c r="B347" s="321" t="str">
        <f>Planilha!D84</f>
        <v>LASTRO DE CONCRETO</v>
      </c>
      <c r="C347" s="321"/>
      <c r="D347" s="321"/>
      <c r="E347" s="321"/>
      <c r="F347" s="321"/>
      <c r="G347" s="321"/>
      <c r="H347" s="322"/>
    </row>
    <row r="348" spans="1:8" ht="14.25" customHeight="1" outlineLevel="1">
      <c r="A348" s="72"/>
      <c r="B348" s="318" t="s">
        <v>164</v>
      </c>
      <c r="C348" s="318"/>
      <c r="D348" s="318"/>
      <c r="E348" s="314">
        <v>3.7</v>
      </c>
      <c r="F348" s="314"/>
      <c r="G348" s="315" t="s">
        <v>32</v>
      </c>
      <c r="H348" s="316"/>
    </row>
    <row r="349" spans="1:8" ht="14.25" customHeight="1" outlineLevel="1">
      <c r="A349" s="72"/>
      <c r="B349" s="318" t="s">
        <v>165</v>
      </c>
      <c r="C349" s="318"/>
      <c r="D349" s="318"/>
      <c r="E349" s="314">
        <v>4.13</v>
      </c>
      <c r="F349" s="314"/>
      <c r="G349" s="315" t="s">
        <v>32</v>
      </c>
      <c r="H349" s="316"/>
    </row>
    <row r="350" spans="1:8" ht="14.25" customHeight="1" outlineLevel="1">
      <c r="A350" s="72"/>
      <c r="B350" s="318" t="s">
        <v>166</v>
      </c>
      <c r="C350" s="318"/>
      <c r="D350" s="318"/>
      <c r="E350" s="314">
        <v>5.5</v>
      </c>
      <c r="F350" s="314"/>
      <c r="G350" s="315" t="s">
        <v>32</v>
      </c>
      <c r="H350" s="316"/>
    </row>
    <row r="351" spans="1:8" ht="14.25" customHeight="1" outlineLevel="1">
      <c r="A351" s="72"/>
      <c r="B351" s="318" t="s">
        <v>167</v>
      </c>
      <c r="C351" s="318"/>
      <c r="D351" s="318"/>
      <c r="E351" s="314">
        <v>1.25</v>
      </c>
      <c r="F351" s="314"/>
      <c r="G351" s="315" t="s">
        <v>32</v>
      </c>
      <c r="H351" s="316"/>
    </row>
    <row r="352" spans="1:8" ht="14.25" customHeight="1">
      <c r="A352" s="72"/>
      <c r="B352" s="318" t="s">
        <v>168</v>
      </c>
      <c r="C352" s="318"/>
      <c r="D352" s="318"/>
      <c r="E352" s="314">
        <v>19.18</v>
      </c>
      <c r="F352" s="314"/>
      <c r="G352" s="315" t="s">
        <v>32</v>
      </c>
      <c r="H352" s="316"/>
    </row>
    <row r="353" spans="1:8" s="25" customFormat="1" ht="14.25" customHeight="1">
      <c r="A353" s="72"/>
      <c r="B353" s="318" t="s">
        <v>169</v>
      </c>
      <c r="C353" s="318"/>
      <c r="D353" s="318"/>
      <c r="E353" s="314">
        <v>25</v>
      </c>
      <c r="F353" s="314"/>
      <c r="G353" s="315" t="s">
        <v>32</v>
      </c>
      <c r="H353" s="316"/>
    </row>
    <row r="354" spans="1:8" ht="14.25" customHeight="1" outlineLevel="1">
      <c r="A354" s="72"/>
      <c r="B354" s="318" t="s">
        <v>171</v>
      </c>
      <c r="C354" s="318"/>
      <c r="D354" s="318"/>
      <c r="E354" s="314">
        <v>35.75</v>
      </c>
      <c r="F354" s="314"/>
      <c r="G354" s="315" t="s">
        <v>32</v>
      </c>
      <c r="H354" s="316"/>
    </row>
    <row r="355" spans="1:8" ht="14.25" customHeight="1" outlineLevel="1">
      <c r="A355" s="72"/>
      <c r="B355" s="318" t="s">
        <v>170</v>
      </c>
      <c r="C355" s="318"/>
      <c r="D355" s="318"/>
      <c r="E355" s="314">
        <v>25</v>
      </c>
      <c r="F355" s="314"/>
      <c r="G355" s="315" t="s">
        <v>32</v>
      </c>
      <c r="H355" s="316"/>
    </row>
    <row r="356" spans="1:8" ht="14.25" customHeight="1" outlineLevel="1">
      <c r="A356" s="72"/>
      <c r="B356" s="318" t="s">
        <v>184</v>
      </c>
      <c r="C356" s="318"/>
      <c r="D356" s="318"/>
      <c r="E356" s="314">
        <v>50.1</v>
      </c>
      <c r="F356" s="314"/>
      <c r="G356" s="315" t="s">
        <v>32</v>
      </c>
      <c r="H356" s="316"/>
    </row>
    <row r="357" spans="1:8" ht="14.25" customHeight="1" outlineLevel="1">
      <c r="A357" s="65" t="str">
        <f>$L$8</f>
        <v>Conta</v>
      </c>
      <c r="B357" s="317" t="s">
        <v>186</v>
      </c>
      <c r="C357" s="317"/>
      <c r="D357" s="317"/>
      <c r="E357" s="324" t="s">
        <v>123</v>
      </c>
      <c r="F357" s="324"/>
      <c r="G357" s="68">
        <f>ROUND(3.7+4.13+5.5+1.25+19.18+25+35.75+25+50.1,2)</f>
        <v>169.61</v>
      </c>
      <c r="H357" s="69" t="str">
        <f>Planilha!F84</f>
        <v>M³</v>
      </c>
    </row>
    <row r="358" spans="1:8" ht="5.25" customHeight="1" outlineLevel="1">
      <c r="C358" s="47"/>
      <c r="D358" s="47"/>
      <c r="E358" s="80"/>
      <c r="F358" s="80"/>
    </row>
    <row r="359" spans="1:8" ht="25.5" customHeight="1" outlineLevel="1">
      <c r="A359" s="73" t="e">
        <f>Planilha!#REF!</f>
        <v>#REF!</v>
      </c>
      <c r="B359" s="319" t="e">
        <f>Planilha!#REF!</f>
        <v>#REF!</v>
      </c>
      <c r="C359" s="319"/>
      <c r="D359" s="319"/>
      <c r="E359" s="319"/>
      <c r="F359" s="319"/>
      <c r="G359" s="319"/>
      <c r="H359" s="320"/>
    </row>
    <row r="360" spans="1:8" ht="14.25" customHeight="1" outlineLevel="1">
      <c r="A360" s="72"/>
      <c r="B360" s="318" t="s">
        <v>164</v>
      </c>
      <c r="C360" s="318"/>
      <c r="D360" s="318"/>
      <c r="E360" s="314">
        <v>3.7</v>
      </c>
      <c r="F360" s="314"/>
      <c r="G360" s="315" t="s">
        <v>32</v>
      </c>
      <c r="H360" s="316"/>
    </row>
    <row r="361" spans="1:8" ht="14.25" customHeight="1" outlineLevel="1">
      <c r="A361" s="72"/>
      <c r="B361" s="318" t="s">
        <v>165</v>
      </c>
      <c r="C361" s="318"/>
      <c r="D361" s="318"/>
      <c r="E361" s="314">
        <v>4.13</v>
      </c>
      <c r="F361" s="314"/>
      <c r="G361" s="315" t="s">
        <v>32</v>
      </c>
      <c r="H361" s="316"/>
    </row>
    <row r="362" spans="1:8" ht="14.25" customHeight="1" outlineLevel="1">
      <c r="A362" s="72"/>
      <c r="B362" s="318" t="s">
        <v>166</v>
      </c>
      <c r="C362" s="318"/>
      <c r="D362" s="318"/>
      <c r="E362" s="314">
        <v>5.5</v>
      </c>
      <c r="F362" s="314"/>
      <c r="G362" s="315" t="s">
        <v>32</v>
      </c>
      <c r="H362" s="316"/>
    </row>
    <row r="363" spans="1:8" ht="14.25" customHeight="1" outlineLevel="1">
      <c r="A363" s="72"/>
      <c r="B363" s="318" t="s">
        <v>167</v>
      </c>
      <c r="C363" s="318"/>
      <c r="D363" s="318"/>
      <c r="E363" s="314">
        <v>1.25</v>
      </c>
      <c r="F363" s="314"/>
      <c r="G363" s="315" t="s">
        <v>32</v>
      </c>
      <c r="H363" s="316"/>
    </row>
    <row r="364" spans="1:8" ht="14.25" customHeight="1">
      <c r="A364" s="72"/>
      <c r="B364" s="318" t="s">
        <v>168</v>
      </c>
      <c r="C364" s="318"/>
      <c r="D364" s="318"/>
      <c r="E364" s="314">
        <v>19.18</v>
      </c>
      <c r="F364" s="314"/>
      <c r="G364" s="315" t="s">
        <v>32</v>
      </c>
      <c r="H364" s="316"/>
    </row>
    <row r="365" spans="1:8" outlineLevel="1">
      <c r="A365" s="72"/>
      <c r="B365" s="318" t="s">
        <v>169</v>
      </c>
      <c r="C365" s="318"/>
      <c r="D365" s="318"/>
      <c r="E365" s="314">
        <v>25</v>
      </c>
      <c r="F365" s="314"/>
      <c r="G365" s="315" t="s">
        <v>32</v>
      </c>
      <c r="H365" s="316"/>
    </row>
    <row r="366" spans="1:8" ht="14.25" customHeight="1" outlineLevel="1">
      <c r="A366" s="72"/>
      <c r="B366" s="318" t="s">
        <v>171</v>
      </c>
      <c r="C366" s="318"/>
      <c r="D366" s="318"/>
      <c r="E366" s="314">
        <v>35.75</v>
      </c>
      <c r="F366" s="314"/>
      <c r="G366" s="315" t="s">
        <v>32</v>
      </c>
      <c r="H366" s="316"/>
    </row>
    <row r="367" spans="1:8" ht="14.25" customHeight="1" outlineLevel="1">
      <c r="A367" s="72"/>
      <c r="B367" s="318" t="s">
        <v>170</v>
      </c>
      <c r="C367" s="318"/>
      <c r="D367" s="318"/>
      <c r="E367" s="314">
        <v>25</v>
      </c>
      <c r="F367" s="314"/>
      <c r="G367" s="315" t="s">
        <v>32</v>
      </c>
      <c r="H367" s="316"/>
    </row>
    <row r="368" spans="1:8" ht="14.25" customHeight="1" outlineLevel="1">
      <c r="A368" s="72"/>
      <c r="B368" s="318" t="s">
        <v>184</v>
      </c>
      <c r="C368" s="318"/>
      <c r="D368" s="318"/>
      <c r="E368" s="314">
        <v>50.1</v>
      </c>
      <c r="F368" s="314"/>
      <c r="G368" s="315" t="s">
        <v>32</v>
      </c>
      <c r="H368" s="316"/>
    </row>
    <row r="369" spans="1:8" ht="14.25" customHeight="1" outlineLevel="1">
      <c r="A369" s="65" t="str">
        <f>$L$8</f>
        <v>Conta</v>
      </c>
      <c r="B369" s="317" t="s">
        <v>186</v>
      </c>
      <c r="C369" s="317"/>
      <c r="D369" s="317"/>
      <c r="E369" s="324" t="s">
        <v>123</v>
      </c>
      <c r="F369" s="324"/>
      <c r="G369" s="68">
        <f>ROUND(3.7+4.13+5.5+1.25+19.18+25+35.75+25+50.1,2)</f>
        <v>169.61</v>
      </c>
      <c r="H369" s="69" t="e">
        <f>Planilha!#REF!</f>
        <v>#REF!</v>
      </c>
    </row>
    <row r="370" spans="1:8" ht="5.25" customHeight="1" outlineLevel="1">
      <c r="C370" s="47"/>
      <c r="D370" s="47"/>
      <c r="E370" s="80"/>
      <c r="F370" s="80"/>
    </row>
    <row r="371" spans="1:8" ht="14.25" customHeight="1" outlineLevel="1">
      <c r="A371" s="71">
        <f>Planilha!A86</f>
        <v>10</v>
      </c>
      <c r="B371" s="328" t="str">
        <f>Planilha!D86</f>
        <v>IMPERMEABILIZAÇÃO</v>
      </c>
      <c r="C371" s="328"/>
      <c r="D371" s="328"/>
      <c r="E371" s="328"/>
      <c r="F371" s="328"/>
      <c r="G371" s="328"/>
      <c r="H371" s="328"/>
    </row>
    <row r="372" spans="1:8" ht="5.25" customHeight="1" outlineLevel="1">
      <c r="C372" s="47"/>
      <c r="D372" s="47"/>
      <c r="E372" s="80"/>
      <c r="F372" s="80"/>
    </row>
    <row r="373" spans="1:8" ht="14.25" customHeight="1" outlineLevel="1">
      <c r="A373" s="82" t="str">
        <f>Planilha!A87</f>
        <v>10.1</v>
      </c>
      <c r="B373" s="321" t="str">
        <f>Planilha!D87</f>
        <v>IMPERMEABILIZAÇÃO COM ARGAMASSA CIM/AREIA 1:3 COM HIDROFOGO</v>
      </c>
      <c r="C373" s="321"/>
      <c r="D373" s="321"/>
      <c r="E373" s="321"/>
      <c r="F373" s="321"/>
      <c r="G373" s="321"/>
      <c r="H373" s="322"/>
    </row>
    <row r="374" spans="1:8" ht="14.25" customHeight="1" outlineLevel="1">
      <c r="A374" s="72"/>
      <c r="B374" s="318" t="s">
        <v>187</v>
      </c>
      <c r="C374" s="318"/>
      <c r="D374" s="318"/>
      <c r="E374" s="314">
        <v>0.8</v>
      </c>
      <c r="F374" s="314"/>
      <c r="G374" s="315" t="s">
        <v>39</v>
      </c>
      <c r="H374" s="316"/>
    </row>
    <row r="375" spans="1:8" ht="14.25" customHeight="1" outlineLevel="1">
      <c r="A375" s="72"/>
      <c r="B375" s="318" t="s">
        <v>188</v>
      </c>
      <c r="C375" s="318"/>
      <c r="D375" s="318"/>
      <c r="E375" s="314">
        <v>0.8</v>
      </c>
      <c r="F375" s="314"/>
      <c r="G375" s="315" t="s">
        <v>39</v>
      </c>
      <c r="H375" s="316"/>
    </row>
    <row r="376" spans="1:8" ht="14.25" customHeight="1">
      <c r="A376" s="65" t="str">
        <f>$L$8</f>
        <v>Conta</v>
      </c>
      <c r="B376" s="317" t="s">
        <v>189</v>
      </c>
      <c r="C376" s="317"/>
      <c r="D376" s="317"/>
      <c r="E376" s="324" t="s">
        <v>123</v>
      </c>
      <c r="F376" s="324"/>
      <c r="G376" s="68">
        <f>ROUND(0.8+0.8,2)</f>
        <v>1.6</v>
      </c>
      <c r="H376" s="69" t="s">
        <v>39</v>
      </c>
    </row>
    <row r="377" spans="1:8" s="25" customFormat="1" ht="5.25" customHeight="1">
      <c r="A377" s="11"/>
      <c r="B377" s="11"/>
      <c r="C377" s="47"/>
      <c r="D377" s="47"/>
      <c r="E377" s="80"/>
      <c r="F377" s="80"/>
      <c r="G377" s="10"/>
      <c r="H377" s="59"/>
    </row>
    <row r="378" spans="1:8" ht="14.25" customHeight="1">
      <c r="A378" s="71">
        <f>Planilha!A88</f>
        <v>11</v>
      </c>
      <c r="B378" s="328" t="str">
        <f>Planilha!D88</f>
        <v xml:space="preserve">PINTURA </v>
      </c>
      <c r="C378" s="328"/>
      <c r="D378" s="328"/>
      <c r="E378" s="328"/>
      <c r="F378" s="328"/>
      <c r="G378" s="328"/>
      <c r="H378" s="328"/>
    </row>
    <row r="379" spans="1:8" s="25" customFormat="1" ht="5.25" customHeight="1">
      <c r="A379" s="11"/>
      <c r="B379" s="11"/>
      <c r="C379" s="47"/>
      <c r="D379" s="47"/>
      <c r="E379" s="80"/>
      <c r="F379" s="80"/>
      <c r="G379" s="10"/>
      <c r="H379" s="59"/>
    </row>
    <row r="380" spans="1:8" ht="14.25" customHeight="1" outlineLevel="1">
      <c r="A380" s="76">
        <f>Planilha!A89</f>
        <v>0</v>
      </c>
      <c r="B380" s="329" t="str">
        <f>Planilha!D89</f>
        <v>INTERNA</v>
      </c>
      <c r="C380" s="329"/>
      <c r="D380" s="329"/>
      <c r="E380" s="329"/>
      <c r="F380" s="329"/>
      <c r="G380" s="329"/>
      <c r="H380" s="330"/>
    </row>
    <row r="381" spans="1:8" ht="14.25" customHeight="1" outlineLevel="1">
      <c r="A381" s="72"/>
      <c r="B381" s="318" t="s">
        <v>237</v>
      </c>
      <c r="C381" s="318"/>
      <c r="D381" s="318"/>
      <c r="E381" s="314">
        <v>71.650000000000006</v>
      </c>
      <c r="F381" s="314"/>
      <c r="G381" s="315" t="s">
        <v>32</v>
      </c>
      <c r="H381" s="316"/>
    </row>
    <row r="382" spans="1:8" ht="14.25" customHeight="1" outlineLevel="1">
      <c r="A382" s="72"/>
      <c r="B382" s="318" t="s">
        <v>126</v>
      </c>
      <c r="C382" s="318"/>
      <c r="D382" s="318"/>
      <c r="E382" s="314">
        <v>2.2999999999999998</v>
      </c>
      <c r="F382" s="314"/>
      <c r="G382" s="315" t="s">
        <v>39</v>
      </c>
      <c r="H382" s="316"/>
    </row>
    <row r="383" spans="1:8" ht="14.25" customHeight="1" outlineLevel="1">
      <c r="A383" s="72"/>
      <c r="B383" s="318" t="s">
        <v>238</v>
      </c>
      <c r="C383" s="318"/>
      <c r="D383" s="318"/>
      <c r="E383" s="314">
        <v>150.30000000000001</v>
      </c>
      <c r="F383" s="314"/>
      <c r="G383" s="315" t="s">
        <v>32</v>
      </c>
      <c r="H383" s="316"/>
    </row>
    <row r="384" spans="1:8" ht="14.25" customHeight="1" outlineLevel="1">
      <c r="A384" s="72"/>
      <c r="B384" s="334" t="s">
        <v>126</v>
      </c>
      <c r="C384" s="334"/>
      <c r="D384" s="334"/>
      <c r="E384" s="314">
        <v>3</v>
      </c>
      <c r="F384" s="314"/>
      <c r="G384" s="315" t="s">
        <v>39</v>
      </c>
      <c r="H384" s="316"/>
    </row>
    <row r="385" spans="1:8" ht="14.25" customHeight="1" outlineLevel="1">
      <c r="A385" s="72"/>
      <c r="B385" s="334" t="s">
        <v>239</v>
      </c>
      <c r="C385" s="334"/>
      <c r="D385" s="334"/>
      <c r="E385" s="314"/>
      <c r="F385" s="314"/>
      <c r="G385" s="315"/>
      <c r="H385" s="316"/>
    </row>
    <row r="386" spans="1:8" ht="14.25" customHeight="1" outlineLevel="1">
      <c r="A386" s="72"/>
      <c r="B386" s="326" t="s">
        <v>240</v>
      </c>
      <c r="C386" s="326"/>
      <c r="D386" s="326"/>
      <c r="E386" s="314">
        <v>38.299999999999997</v>
      </c>
      <c r="F386" s="314"/>
      <c r="G386" s="315"/>
      <c r="H386" s="316"/>
    </row>
    <row r="387" spans="1:8" ht="14.25" customHeight="1">
      <c r="A387" s="65" t="str">
        <f>$L$8</f>
        <v>Conta</v>
      </c>
      <c r="B387" s="317" t="s">
        <v>241</v>
      </c>
      <c r="C387" s="317"/>
      <c r="D387" s="317"/>
      <c r="E387" s="324" t="s">
        <v>123</v>
      </c>
      <c r="F387" s="324"/>
      <c r="G387" s="68">
        <f>ROUND((71.65+150.3)*(2)-38.3,2)</f>
        <v>405.6</v>
      </c>
      <c r="H387" s="69">
        <f>Planilha!F89</f>
        <v>0</v>
      </c>
    </row>
    <row r="388" spans="1:8" s="25" customFormat="1" ht="5.25" customHeight="1">
      <c r="A388" s="11"/>
      <c r="B388" s="11"/>
      <c r="C388" s="47"/>
      <c r="D388" s="47"/>
      <c r="E388" s="80"/>
      <c r="F388" s="80"/>
      <c r="G388" s="10"/>
      <c r="H388" s="59"/>
    </row>
    <row r="389" spans="1:8" ht="14.25" customHeight="1">
      <c r="A389" s="82" t="e">
        <f>Planilha!#REF!</f>
        <v>#REF!</v>
      </c>
      <c r="B389" s="321" t="e">
        <f>Planilha!#REF!</f>
        <v>#REF!</v>
      </c>
      <c r="C389" s="321"/>
      <c r="D389" s="321"/>
      <c r="E389" s="321"/>
      <c r="F389" s="321"/>
      <c r="G389" s="321"/>
      <c r="H389" s="322"/>
    </row>
    <row r="390" spans="1:8" ht="14.25" customHeight="1" outlineLevel="1">
      <c r="A390" s="72"/>
      <c r="B390" s="318" t="s">
        <v>242</v>
      </c>
      <c r="C390" s="318"/>
      <c r="D390" s="318"/>
      <c r="E390" s="314">
        <v>221.95</v>
      </c>
      <c r="F390" s="314"/>
      <c r="G390" s="315" t="s">
        <v>39</v>
      </c>
      <c r="H390" s="316"/>
    </row>
    <row r="391" spans="1:8" ht="14.25" customHeight="1" outlineLevel="1">
      <c r="A391" s="72"/>
      <c r="B391" s="318" t="s">
        <v>183</v>
      </c>
      <c r="C391" s="318"/>
      <c r="D391" s="318"/>
      <c r="E391" s="314"/>
      <c r="F391" s="314"/>
      <c r="G391" s="315" t="s">
        <v>39</v>
      </c>
      <c r="H391" s="316"/>
    </row>
    <row r="392" spans="1:8" ht="14.25" customHeight="1" outlineLevel="1">
      <c r="A392" s="72"/>
      <c r="B392" s="315" t="s">
        <v>240</v>
      </c>
      <c r="C392" s="315"/>
      <c r="D392" s="315"/>
      <c r="E392" s="314">
        <v>38.299999999999997</v>
      </c>
      <c r="F392" s="314"/>
      <c r="G392" s="315"/>
      <c r="H392" s="316"/>
    </row>
    <row r="393" spans="1:8" ht="14.25" customHeight="1" outlineLevel="1">
      <c r="A393" s="65" t="str">
        <f>$L$8</f>
        <v>Conta</v>
      </c>
      <c r="B393" s="317" t="s">
        <v>243</v>
      </c>
      <c r="C393" s="317"/>
      <c r="D393" s="317"/>
      <c r="E393" s="324" t="s">
        <v>123</v>
      </c>
      <c r="F393" s="324"/>
      <c r="G393" s="68">
        <f>ROUND(221.95*(2)-38.3,2)</f>
        <v>405.6</v>
      </c>
      <c r="H393" s="69" t="e">
        <f>Planilha!#REF!</f>
        <v>#REF!</v>
      </c>
    </row>
    <row r="394" spans="1:8" ht="5.25" customHeight="1" outlineLevel="1">
      <c r="C394" s="47"/>
      <c r="D394" s="47"/>
      <c r="E394" s="80"/>
      <c r="F394" s="80"/>
    </row>
    <row r="395" spans="1:8" ht="14.25" customHeight="1">
      <c r="A395" s="71">
        <f>Planilha!A100</f>
        <v>12</v>
      </c>
      <c r="B395" s="328" t="str">
        <f>Planilha!D100</f>
        <v>INSTALAÇÕES HIDROSSANITÁRIAS</v>
      </c>
      <c r="C395" s="328"/>
      <c r="D395" s="328"/>
      <c r="E395" s="328"/>
      <c r="F395" s="328"/>
      <c r="G395" s="328"/>
      <c r="H395" s="328"/>
    </row>
    <row r="396" spans="1:8" s="25" customFormat="1" ht="5.25" customHeight="1">
      <c r="A396" s="11"/>
      <c r="B396" s="11"/>
      <c r="C396" s="47"/>
      <c r="D396" s="47"/>
      <c r="E396" s="80"/>
      <c r="F396" s="80"/>
      <c r="G396" s="10"/>
      <c r="H396" s="59"/>
    </row>
    <row r="397" spans="1:8" ht="14.25" customHeight="1" outlineLevel="1">
      <c r="A397" s="49">
        <f>Planilha!A101</f>
        <v>0</v>
      </c>
      <c r="B397" s="333" t="str">
        <f>Planilha!D101</f>
        <v>ÁGUA FRIA</v>
      </c>
      <c r="C397" s="333"/>
      <c r="D397" s="333"/>
      <c r="E397" s="333"/>
      <c r="F397" s="333"/>
      <c r="G397" s="333"/>
      <c r="H397" s="333"/>
    </row>
    <row r="398" spans="1:8" ht="4.5" customHeight="1" outlineLevel="1">
      <c r="C398" s="47"/>
      <c r="D398" s="47"/>
      <c r="E398" s="80"/>
      <c r="F398" s="80"/>
    </row>
    <row r="399" spans="1:8" ht="14.25" customHeight="1" outlineLevel="1">
      <c r="A399" s="82" t="str">
        <f>Planilha!A102</f>
        <v>12.1</v>
      </c>
      <c r="B399" s="321" t="str">
        <f>Planilha!D102</f>
        <v>REGISTRO DE GAVETA BRUTO, LATÃO, ROSCÁVEL, 2 1/2, INSTALADO EM RESERVAÇÃO DE ÁGUA DE EDIFICAÇÃO QUE POSSUA RESERVATÓRIO DE FIBRA/FIBROCIMENTO FORNECIMENTO E INSTALAÇÃO. AF_06/2016</v>
      </c>
      <c r="C399" s="321"/>
      <c r="D399" s="321"/>
      <c r="E399" s="321"/>
      <c r="F399" s="321"/>
      <c r="G399" s="321"/>
      <c r="H399" s="322"/>
    </row>
    <row r="400" spans="1:8" ht="14.25" customHeight="1">
      <c r="A400" s="65" t="str">
        <f>$L$8</f>
        <v>Conta</v>
      </c>
      <c r="B400" s="317"/>
      <c r="C400" s="317"/>
      <c r="D400" s="317"/>
      <c r="E400" s="324" t="s">
        <v>123</v>
      </c>
      <c r="F400" s="324"/>
      <c r="G400" s="68">
        <v>4</v>
      </c>
      <c r="H400" s="69" t="str">
        <f>Planilha!F102</f>
        <v>UN</v>
      </c>
    </row>
    <row r="401" spans="1:8" s="25" customFormat="1" ht="5.25" customHeight="1">
      <c r="A401" s="11"/>
      <c r="B401" s="11"/>
      <c r="C401" s="47"/>
      <c r="D401" s="47"/>
      <c r="E401" s="80"/>
      <c r="F401" s="80"/>
      <c r="G401" s="10"/>
      <c r="H401" s="59"/>
    </row>
    <row r="402" spans="1:8" ht="14.25" customHeight="1">
      <c r="A402" s="82" t="str">
        <f>Planilha!A103</f>
        <v>12.2</v>
      </c>
      <c r="B402" s="321" t="str">
        <f>Planilha!D103</f>
        <v>REGISTRO DE GAVETA BRUTO, LATÃO, ROSCÁVEL, 2, INSTALADO EM RESERVAÇÃO DE ÁGUA DE EDIFICAÇÃO QUE POSSUA RESERVATÓRIO DE FIBRA/FIBROCIMENTO FORNECIMENTO E INSTALAÇÃO. AF_06/2016</v>
      </c>
      <c r="C402" s="321"/>
      <c r="D402" s="321"/>
      <c r="E402" s="321"/>
      <c r="F402" s="321"/>
      <c r="G402" s="321"/>
      <c r="H402" s="322"/>
    </row>
    <row r="403" spans="1:8" s="50" customFormat="1" ht="14.25" customHeight="1">
      <c r="A403" s="65" t="str">
        <f>$L$8</f>
        <v>Conta</v>
      </c>
      <c r="B403" s="317"/>
      <c r="C403" s="317"/>
      <c r="D403" s="317"/>
      <c r="E403" s="324" t="s">
        <v>123</v>
      </c>
      <c r="F403" s="324"/>
      <c r="G403" s="68">
        <v>2</v>
      </c>
      <c r="H403" s="69" t="str">
        <f>Planilha!F103</f>
        <v>UN</v>
      </c>
    </row>
    <row r="404" spans="1:8" ht="5.25" customHeight="1">
      <c r="C404" s="47"/>
      <c r="D404" s="47"/>
      <c r="E404" s="80"/>
      <c r="F404" s="80"/>
    </row>
    <row r="405" spans="1:8" s="25" customFormat="1" ht="14.25" customHeight="1">
      <c r="A405" s="82" t="str">
        <f>Planilha!A104</f>
        <v>12.3</v>
      </c>
      <c r="B405" s="321" t="str">
        <f>Planilha!D104</f>
        <v>TUBO, PVC, SOLDÁVEL, DN 25MM, INSTALADO EM RAMAL OU SUB-RAMAL DE ÁGUA - FORNECIMENTO E INSTALAÇÃO. AF_12/2014</v>
      </c>
      <c r="C405" s="321"/>
      <c r="D405" s="321"/>
      <c r="E405" s="321"/>
      <c r="F405" s="321"/>
      <c r="G405" s="321"/>
      <c r="H405" s="322"/>
    </row>
    <row r="406" spans="1:8" ht="14.25" customHeight="1" outlineLevel="1">
      <c r="A406" s="65" t="str">
        <f>$L$8</f>
        <v>Conta</v>
      </c>
      <c r="B406" s="317"/>
      <c r="C406" s="317"/>
      <c r="D406" s="317"/>
      <c r="E406" s="324" t="s">
        <v>123</v>
      </c>
      <c r="F406" s="324"/>
      <c r="G406" s="68">
        <v>16.36</v>
      </c>
      <c r="H406" s="69" t="str">
        <f>Planilha!F104</f>
        <v>M</v>
      </c>
    </row>
    <row r="407" spans="1:8" ht="5.25" customHeight="1">
      <c r="C407" s="47"/>
      <c r="D407" s="47"/>
      <c r="E407" s="80"/>
      <c r="F407" s="80"/>
    </row>
    <row r="408" spans="1:8" s="25" customFormat="1" ht="14.25" customHeight="1">
      <c r="A408" s="82" t="str">
        <f>Planilha!A105</f>
        <v>12.4</v>
      </c>
      <c r="B408" s="321" t="str">
        <f>Planilha!D105</f>
        <v>REGISTRO DE GAVETA BRUTO, LATÃO, ROSCÁVEL, 3/4, INSTALADO EM RESERVAÇÃO DE ÁGUA DE EDIFICAÇÃO QUE POSSUA RESERVATÓRIO DE FIBRA/FIBROCIMENTO FORNECIMENTO E INSTALAÇÃO. AF_06/2016</v>
      </c>
      <c r="C408" s="321"/>
      <c r="D408" s="321"/>
      <c r="E408" s="321"/>
      <c r="F408" s="321"/>
      <c r="G408" s="321"/>
      <c r="H408" s="322"/>
    </row>
    <row r="409" spans="1:8" ht="14.25" customHeight="1" outlineLevel="1">
      <c r="A409" s="65" t="str">
        <f>$L$8</f>
        <v>Conta</v>
      </c>
      <c r="B409" s="317"/>
      <c r="C409" s="317"/>
      <c r="D409" s="317"/>
      <c r="E409" s="324" t="s">
        <v>123</v>
      </c>
      <c r="F409" s="324"/>
      <c r="G409" s="68">
        <v>5.33</v>
      </c>
      <c r="H409" s="69" t="str">
        <f>Planilha!F107</f>
        <v>UN</v>
      </c>
    </row>
    <row r="410" spans="1:8" ht="5.25" customHeight="1">
      <c r="C410" s="47"/>
      <c r="D410" s="47"/>
      <c r="E410" s="80"/>
      <c r="F410" s="80"/>
    </row>
    <row r="411" spans="1:8" s="25" customFormat="1" ht="14.25" customHeight="1">
      <c r="A411" s="82" t="str">
        <f>Planilha!A132</f>
        <v>12.31</v>
      </c>
      <c r="B411" s="321" t="str">
        <f>Planilha!D132</f>
        <v>CAIXA D'ÁGUA 250L</v>
      </c>
      <c r="C411" s="321"/>
      <c r="D411" s="321"/>
      <c r="E411" s="321"/>
      <c r="F411" s="321"/>
      <c r="G411" s="321"/>
      <c r="H411" s="322"/>
    </row>
    <row r="412" spans="1:8" ht="14.25" customHeight="1" outlineLevel="1">
      <c r="A412" s="65" t="str">
        <f>$L$8</f>
        <v>Conta</v>
      </c>
      <c r="B412" s="317"/>
      <c r="C412" s="317"/>
      <c r="D412" s="317"/>
      <c r="E412" s="324" t="s">
        <v>123</v>
      </c>
      <c r="F412" s="324"/>
      <c r="G412" s="68">
        <v>1</v>
      </c>
      <c r="H412" s="69" t="str">
        <f>Planilha!F132</f>
        <v>UN</v>
      </c>
    </row>
    <row r="413" spans="1:8" ht="5.25" customHeight="1">
      <c r="C413" s="47"/>
      <c r="D413" s="47"/>
      <c r="E413" s="80"/>
      <c r="F413" s="80"/>
    </row>
    <row r="414" spans="1:8" s="25" customFormat="1" ht="14.25" customHeight="1">
      <c r="A414" s="71">
        <f>Planilha!A133</f>
        <v>0</v>
      </c>
      <c r="B414" s="328" t="str">
        <f>Planilha!D133</f>
        <v>ESGOTO</v>
      </c>
      <c r="C414" s="328"/>
      <c r="D414" s="328"/>
      <c r="E414" s="328"/>
      <c r="F414" s="328"/>
      <c r="G414" s="328"/>
      <c r="H414" s="328"/>
    </row>
    <row r="415" spans="1:8" ht="5.25" customHeight="1" outlineLevel="1">
      <c r="C415" s="47"/>
      <c r="D415" s="47"/>
      <c r="E415" s="80"/>
      <c r="F415" s="80"/>
    </row>
    <row r="416" spans="1:8" ht="14.25" customHeight="1">
      <c r="A416" s="82" t="str">
        <f>Planilha!A134</f>
        <v>12.32</v>
      </c>
      <c r="B416" s="321" t="str">
        <f>Planilha!D134</f>
        <v>CAIXA SIFONADA DE PVC DN 150X150X50MM C/ GRELHA METALICA</v>
      </c>
      <c r="C416" s="321"/>
      <c r="D416" s="321"/>
      <c r="E416" s="321"/>
      <c r="F416" s="321"/>
      <c r="G416" s="321"/>
      <c r="H416" s="322"/>
    </row>
    <row r="417" spans="1:8" s="25" customFormat="1" ht="14.25" customHeight="1">
      <c r="A417" s="72"/>
      <c r="B417" s="318" t="s">
        <v>144</v>
      </c>
      <c r="C417" s="318"/>
      <c r="D417" s="318"/>
      <c r="E417" s="314">
        <v>5.51</v>
      </c>
      <c r="F417" s="314"/>
      <c r="G417" s="315" t="s">
        <v>39</v>
      </c>
      <c r="H417" s="316"/>
    </row>
    <row r="418" spans="1:8" ht="14.25" customHeight="1" outlineLevel="1">
      <c r="A418" s="65" t="str">
        <f>$L$8</f>
        <v>Conta</v>
      </c>
      <c r="B418" s="317"/>
      <c r="C418" s="317"/>
      <c r="D418" s="317"/>
      <c r="E418" s="324" t="s">
        <v>123</v>
      </c>
      <c r="F418" s="324"/>
      <c r="G418" s="68">
        <v>5.72</v>
      </c>
      <c r="H418" s="69" t="str">
        <f>Planilha!F134</f>
        <v>UN</v>
      </c>
    </row>
    <row r="419" spans="1:8" ht="5.25" customHeight="1">
      <c r="C419" s="47"/>
      <c r="D419" s="47"/>
      <c r="E419" s="80"/>
      <c r="F419" s="80"/>
    </row>
    <row r="420" spans="1:8" s="25" customFormat="1" ht="14.25" customHeight="1">
      <c r="A420" s="82" t="str">
        <f>Planilha!A135</f>
        <v>12.33</v>
      </c>
      <c r="B420" s="321" t="str">
        <f>Planilha!D135</f>
        <v>TUBO PVC, SERIE NORMAL, DN 100 MM, FORNECIMENTO E INSTALAÇÃO</v>
      </c>
      <c r="C420" s="321"/>
      <c r="D420" s="321"/>
      <c r="E420" s="321"/>
      <c r="F420" s="321"/>
      <c r="G420" s="321"/>
      <c r="H420" s="322"/>
    </row>
    <row r="421" spans="1:8" ht="14.25" customHeight="1" outlineLevel="1">
      <c r="A421" s="72"/>
      <c r="B421" s="318" t="s">
        <v>144</v>
      </c>
      <c r="C421" s="318"/>
      <c r="D421" s="318"/>
      <c r="E421" s="314">
        <v>2.86</v>
      </c>
      <c r="F421" s="314"/>
      <c r="G421" s="315" t="s">
        <v>39</v>
      </c>
      <c r="H421" s="316"/>
    </row>
    <row r="422" spans="1:8" ht="14.25" customHeight="1">
      <c r="A422" s="65" t="str">
        <f>$L$8</f>
        <v>Conta</v>
      </c>
      <c r="B422" s="317"/>
      <c r="C422" s="317"/>
      <c r="D422" s="317"/>
      <c r="E422" s="324" t="s">
        <v>123</v>
      </c>
      <c r="F422" s="324"/>
      <c r="G422" s="68">
        <v>2.17</v>
      </c>
      <c r="H422" s="69" t="str">
        <f>Planilha!F135</f>
        <v>M</v>
      </c>
    </row>
    <row r="423" spans="1:8" s="25" customFormat="1" ht="5.25" customHeight="1">
      <c r="A423" s="11"/>
      <c r="B423" s="11"/>
      <c r="C423" s="47"/>
      <c r="D423" s="47"/>
      <c r="E423" s="80"/>
      <c r="F423" s="80"/>
      <c r="G423" s="10"/>
      <c r="H423" s="59"/>
    </row>
    <row r="424" spans="1:8" ht="14.25" customHeight="1">
      <c r="A424" s="82" t="str">
        <f>Planilha!A136</f>
        <v>12.34</v>
      </c>
      <c r="B424" s="321" t="str">
        <f>Planilha!D136</f>
        <v>TUBO PVC, SERIE NORMAL, DN 50 MM, FORNECIMENTO E INSTALAÇÃO</v>
      </c>
      <c r="C424" s="321"/>
      <c r="D424" s="321"/>
      <c r="E424" s="321"/>
      <c r="F424" s="321"/>
      <c r="G424" s="321"/>
      <c r="H424" s="322"/>
    </row>
    <row r="425" spans="1:8" s="25" customFormat="1" ht="14.25" customHeight="1">
      <c r="A425" s="72"/>
      <c r="B425" s="318" t="s">
        <v>144</v>
      </c>
      <c r="C425" s="318"/>
      <c r="D425" s="318"/>
      <c r="E425" s="314">
        <v>3.63</v>
      </c>
      <c r="F425" s="314"/>
      <c r="G425" s="315" t="s">
        <v>39</v>
      </c>
      <c r="H425" s="316"/>
    </row>
    <row r="426" spans="1:8" ht="14.25" customHeight="1" outlineLevel="1">
      <c r="A426" s="65" t="str">
        <f>$L$8</f>
        <v>Conta</v>
      </c>
      <c r="B426" s="317"/>
      <c r="C426" s="317"/>
      <c r="D426" s="317"/>
      <c r="E426" s="324" t="s">
        <v>123</v>
      </c>
      <c r="F426" s="324"/>
      <c r="G426" s="68">
        <v>3.53</v>
      </c>
      <c r="H426" s="69" t="str">
        <f>Planilha!F136</f>
        <v>M</v>
      </c>
    </row>
    <row r="427" spans="1:8" ht="5.25" customHeight="1" outlineLevel="1">
      <c r="C427" s="47"/>
      <c r="D427" s="47"/>
      <c r="E427" s="80"/>
      <c r="F427" s="80"/>
    </row>
    <row r="428" spans="1:8" ht="25.5" customHeight="1">
      <c r="A428" s="82" t="str">
        <f>Planilha!A137</f>
        <v>12.35</v>
      </c>
      <c r="B428" s="331" t="str">
        <f>Planilha!D137</f>
        <v>TUBO PVC, SERIE NORMAL, DN 40 MM, FORNECIMENTO E INSTALAÇÃO</v>
      </c>
      <c r="C428" s="331"/>
      <c r="D428" s="331"/>
      <c r="E428" s="331"/>
      <c r="F428" s="331"/>
      <c r="G428" s="331"/>
      <c r="H428" s="332"/>
    </row>
    <row r="429" spans="1:8" s="25" customFormat="1" ht="14.25" customHeight="1">
      <c r="A429" s="65" t="str">
        <f>$L$8</f>
        <v>Conta</v>
      </c>
      <c r="B429" s="317"/>
      <c r="C429" s="317"/>
      <c r="D429" s="317"/>
      <c r="E429" s="324" t="s">
        <v>123</v>
      </c>
      <c r="F429" s="324"/>
      <c r="G429" s="68">
        <v>2</v>
      </c>
      <c r="H429" s="69" t="str">
        <f>Planilha!F137</f>
        <v>M</v>
      </c>
    </row>
    <row r="430" spans="1:8" ht="5.25" customHeight="1" outlineLevel="1">
      <c r="C430" s="47"/>
      <c r="D430" s="47"/>
      <c r="E430" s="80"/>
      <c r="F430" s="80"/>
    </row>
    <row r="431" spans="1:8" ht="25.5" customHeight="1" outlineLevel="1">
      <c r="A431" s="73" t="str">
        <f>Planilha!A138</f>
        <v>12.36</v>
      </c>
      <c r="B431" s="319" t="str">
        <f>Planilha!D138</f>
        <v>JOELHO 45 GRAUS, PVC, SERIE NORMAL, ESGOTO PREDIAL, DN 50 MM, JUNTA ELÁSTICA, FORNECIDO E INSTALADO EM RAMAL DE DESCARGA OU RAMAL DE ESGOTO SANITÁRIO. AF_12/2014</v>
      </c>
      <c r="C431" s="319"/>
      <c r="D431" s="319"/>
      <c r="E431" s="319"/>
      <c r="F431" s="319"/>
      <c r="G431" s="319"/>
      <c r="H431" s="320"/>
    </row>
    <row r="432" spans="1:8" ht="14.25" customHeight="1">
      <c r="A432" s="65" t="str">
        <f>$L$8</f>
        <v>Conta</v>
      </c>
      <c r="B432" s="317"/>
      <c r="C432" s="317"/>
      <c r="D432" s="317"/>
      <c r="E432" s="324" t="str">
        <f>E429</f>
        <v>TOTAL:</v>
      </c>
      <c r="F432" s="324"/>
      <c r="G432" s="68">
        <v>2</v>
      </c>
      <c r="H432" s="69" t="str">
        <f>Planilha!F138</f>
        <v>UN</v>
      </c>
    </row>
    <row r="433" spans="1:8" s="25" customFormat="1" ht="5.25" customHeight="1">
      <c r="A433" s="11"/>
      <c r="B433" s="11"/>
      <c r="C433" s="47"/>
      <c r="D433" s="47"/>
      <c r="E433" s="80"/>
      <c r="F433" s="80"/>
      <c r="G433" s="10"/>
      <c r="H433" s="59"/>
    </row>
    <row r="434" spans="1:8" ht="25.5" customHeight="1" outlineLevel="1">
      <c r="A434" s="73" t="e">
        <f>Planilha!#REF!</f>
        <v>#REF!</v>
      </c>
      <c r="B434" s="319" t="e">
        <f>Planilha!#REF!</f>
        <v>#REF!</v>
      </c>
      <c r="C434" s="319"/>
      <c r="D434" s="319"/>
      <c r="E434" s="319"/>
      <c r="F434" s="319"/>
      <c r="G434" s="319"/>
      <c r="H434" s="320"/>
    </row>
    <row r="435" spans="1:8" ht="14.25" customHeight="1" outlineLevel="1">
      <c r="A435" s="72" t="str">
        <f>$L$8</f>
        <v>Conta</v>
      </c>
      <c r="B435" s="315"/>
      <c r="C435" s="315"/>
      <c r="D435" s="315"/>
      <c r="E435" s="324" t="str">
        <f>E432</f>
        <v>TOTAL:</v>
      </c>
      <c r="F435" s="324"/>
      <c r="G435" s="68">
        <v>1</v>
      </c>
      <c r="H435" s="69" t="e">
        <f>Planilha!#REF!</f>
        <v>#REF!</v>
      </c>
    </row>
    <row r="436" spans="1:8" ht="5.25" customHeight="1">
      <c r="A436" s="65"/>
      <c r="B436" s="53"/>
      <c r="C436" s="77"/>
      <c r="D436" s="77"/>
      <c r="E436" s="81"/>
      <c r="F436" s="81"/>
      <c r="G436" s="78"/>
      <c r="H436" s="79"/>
    </row>
    <row r="437" spans="1:8" s="25" customFormat="1" ht="25.5" customHeight="1">
      <c r="A437" s="73" t="str">
        <f>Planilha!A139</f>
        <v>12.37</v>
      </c>
      <c r="B437" s="319" t="str">
        <f>Planilha!D139</f>
        <v>RALO SECO EM PVC RÍGIDO DE 100 X 40 MM, COM GRELHA</v>
      </c>
      <c r="C437" s="319"/>
      <c r="D437" s="319"/>
      <c r="E437" s="319"/>
      <c r="F437" s="319"/>
      <c r="G437" s="319"/>
      <c r="H437" s="320"/>
    </row>
    <row r="438" spans="1:8" ht="14.25" customHeight="1" outlineLevel="1">
      <c r="A438" s="65" t="str">
        <f>$L$8</f>
        <v>Conta</v>
      </c>
      <c r="B438" s="317"/>
      <c r="C438" s="317"/>
      <c r="D438" s="317"/>
      <c r="E438" s="324" t="str">
        <f>E435</f>
        <v>TOTAL:</v>
      </c>
      <c r="F438" s="324"/>
      <c r="G438" s="68">
        <v>1</v>
      </c>
      <c r="H438" s="69" t="str">
        <f>Planilha!F139</f>
        <v>UN</v>
      </c>
    </row>
    <row r="439" spans="1:8" ht="5.25" customHeight="1">
      <c r="C439" s="47"/>
      <c r="D439" s="47"/>
      <c r="E439" s="80"/>
      <c r="F439" s="80"/>
    </row>
    <row r="440" spans="1:8" ht="25.5" customHeight="1" outlineLevel="1">
      <c r="A440" s="73" t="e">
        <f>Planilha!#REF!</f>
        <v>#REF!</v>
      </c>
      <c r="B440" s="319" t="e">
        <f>Planilha!#REF!</f>
        <v>#REF!</v>
      </c>
      <c r="C440" s="319"/>
      <c r="D440" s="319"/>
      <c r="E440" s="319"/>
      <c r="F440" s="319"/>
      <c r="G440" s="319"/>
      <c r="H440" s="320"/>
    </row>
    <row r="441" spans="1:8" ht="14.25" customHeight="1" outlineLevel="1">
      <c r="A441" s="65" t="str">
        <f>$L$8</f>
        <v>Conta</v>
      </c>
      <c r="B441" s="317"/>
      <c r="C441" s="317"/>
      <c r="D441" s="317"/>
      <c r="E441" s="324" t="str">
        <f>E438</f>
        <v>TOTAL:</v>
      </c>
      <c r="F441" s="324"/>
      <c r="G441" s="68">
        <v>10</v>
      </c>
      <c r="H441" s="69" t="str">
        <f>Planilha!F139</f>
        <v>UN</v>
      </c>
    </row>
    <row r="442" spans="1:8" ht="5.25" customHeight="1">
      <c r="C442" s="47"/>
      <c r="D442" s="47"/>
      <c r="E442" s="80"/>
      <c r="F442" s="80"/>
    </row>
    <row r="443" spans="1:8" ht="14.25" customHeight="1" outlineLevel="1">
      <c r="A443" s="73" t="e">
        <f>Planilha!#REF!</f>
        <v>#REF!</v>
      </c>
      <c r="B443" s="319" t="e">
        <f>Planilha!#REF!</f>
        <v>#REF!</v>
      </c>
      <c r="C443" s="319"/>
      <c r="D443" s="319"/>
      <c r="E443" s="319"/>
      <c r="F443" s="319"/>
      <c r="G443" s="319"/>
      <c r="H443" s="320"/>
    </row>
    <row r="444" spans="1:8" ht="14.25" customHeight="1" outlineLevel="1">
      <c r="A444" s="65" t="str">
        <f>$L$8</f>
        <v>Conta</v>
      </c>
      <c r="B444" s="317"/>
      <c r="C444" s="317"/>
      <c r="D444" s="317"/>
      <c r="E444" s="324" t="str">
        <f>E441</f>
        <v>TOTAL:</v>
      </c>
      <c r="F444" s="324"/>
      <c r="G444" s="68">
        <v>3</v>
      </c>
      <c r="H444" s="69" t="e">
        <f>Planilha!#REF!</f>
        <v>#REF!</v>
      </c>
    </row>
    <row r="445" spans="1:8" ht="5.25" customHeight="1">
      <c r="C445" s="47"/>
      <c r="D445" s="47"/>
      <c r="E445" s="80"/>
      <c r="F445" s="80"/>
    </row>
    <row r="446" spans="1:8" ht="14.25" customHeight="1" outlineLevel="1">
      <c r="A446" s="71" t="e">
        <f>Planilha!#REF!</f>
        <v>#REF!</v>
      </c>
      <c r="B446" s="328" t="e">
        <f>Planilha!#REF!</f>
        <v>#REF!</v>
      </c>
      <c r="C446" s="328"/>
      <c r="D446" s="328"/>
      <c r="E446" s="328"/>
      <c r="F446" s="328"/>
      <c r="G446" s="328"/>
      <c r="H446" s="328"/>
    </row>
    <row r="447" spans="1:8" ht="5.25" customHeight="1" outlineLevel="1">
      <c r="C447" s="47"/>
      <c r="D447" s="47"/>
      <c r="E447" s="80"/>
      <c r="F447" s="80"/>
    </row>
    <row r="448" spans="1:8" ht="25.5" customHeight="1">
      <c r="A448" s="82" t="e">
        <f>Planilha!#REF!</f>
        <v>#REF!</v>
      </c>
      <c r="B448" s="331" t="e">
        <f>Planilha!#REF!</f>
        <v>#REF!</v>
      </c>
      <c r="C448" s="331"/>
      <c r="D448" s="331"/>
      <c r="E448" s="331"/>
      <c r="F448" s="331"/>
      <c r="G448" s="331"/>
      <c r="H448" s="332"/>
    </row>
    <row r="449" spans="1:8" ht="14.25" customHeight="1" outlineLevel="1">
      <c r="A449" s="65" t="str">
        <f>$L$8</f>
        <v>Conta</v>
      </c>
      <c r="B449" s="317"/>
      <c r="C449" s="317"/>
      <c r="D449" s="317"/>
      <c r="E449" s="324" t="s">
        <v>123</v>
      </c>
      <c r="F449" s="324"/>
      <c r="G449" s="68">
        <v>2</v>
      </c>
      <c r="H449" s="69" t="e">
        <f>Planilha!#REF!</f>
        <v>#REF!</v>
      </c>
    </row>
    <row r="450" spans="1:8" ht="5.25" customHeight="1" outlineLevel="1">
      <c r="C450" s="47"/>
      <c r="D450" s="47"/>
      <c r="E450" s="80"/>
      <c r="F450" s="80"/>
    </row>
    <row r="451" spans="1:8" ht="25.5" customHeight="1">
      <c r="A451" s="73" t="e">
        <f>Planilha!#REF!</f>
        <v>#REF!</v>
      </c>
      <c r="B451" s="319" t="e">
        <f>Planilha!#REF!</f>
        <v>#REF!</v>
      </c>
      <c r="C451" s="319"/>
      <c r="D451" s="319"/>
      <c r="E451" s="319"/>
      <c r="F451" s="319"/>
      <c r="G451" s="319"/>
      <c r="H451" s="320"/>
    </row>
    <row r="452" spans="1:8" ht="14.25" customHeight="1" outlineLevel="1">
      <c r="A452" s="65" t="str">
        <f>$L$8</f>
        <v>Conta</v>
      </c>
      <c r="B452" s="317"/>
      <c r="C452" s="317"/>
      <c r="D452" s="317"/>
      <c r="E452" s="324" t="s">
        <v>123</v>
      </c>
      <c r="F452" s="324"/>
      <c r="G452" s="68">
        <v>1</v>
      </c>
      <c r="H452" s="69" t="e">
        <f>Planilha!#REF!</f>
        <v>#REF!</v>
      </c>
    </row>
    <row r="453" spans="1:8" ht="5.25" customHeight="1" outlineLevel="1">
      <c r="C453" s="47"/>
      <c r="D453" s="47"/>
      <c r="E453" s="80"/>
      <c r="F453" s="80"/>
    </row>
    <row r="454" spans="1:8" ht="14.25" customHeight="1">
      <c r="A454" s="71">
        <f>Planilha!A149</f>
        <v>13</v>
      </c>
      <c r="B454" s="328" t="str">
        <f>Planilha!D149</f>
        <v xml:space="preserve">LOUÇAS E METAIS </v>
      </c>
      <c r="C454" s="328"/>
      <c r="D454" s="328"/>
      <c r="E454" s="328"/>
      <c r="F454" s="328"/>
      <c r="G454" s="328"/>
      <c r="H454" s="328"/>
    </row>
    <row r="455" spans="1:8" s="25" customFormat="1" ht="5.25" customHeight="1">
      <c r="A455" s="11"/>
      <c r="B455" s="11"/>
      <c r="C455" s="47"/>
      <c r="D455" s="47"/>
      <c r="E455" s="80"/>
      <c r="F455" s="80"/>
      <c r="G455" s="10"/>
      <c r="H455" s="59"/>
    </row>
    <row r="456" spans="1:8" ht="25.5" customHeight="1" outlineLevel="1">
      <c r="A456" s="73" t="e">
        <f>Planilha!#REF!</f>
        <v>#REF!</v>
      </c>
      <c r="B456" s="319" t="e">
        <f>Planilha!#REF!</f>
        <v>#REF!</v>
      </c>
      <c r="C456" s="319"/>
      <c r="D456" s="319"/>
      <c r="E456" s="319"/>
      <c r="F456" s="319"/>
      <c r="G456" s="319"/>
      <c r="H456" s="320"/>
    </row>
    <row r="457" spans="1:8" ht="14.25" customHeight="1">
      <c r="A457" s="65" t="str">
        <f>$L$8</f>
        <v>Conta</v>
      </c>
      <c r="B457" s="317"/>
      <c r="C457" s="317"/>
      <c r="D457" s="317"/>
      <c r="E457" s="324" t="s">
        <v>123</v>
      </c>
      <c r="F457" s="324"/>
      <c r="G457" s="68">
        <v>1</v>
      </c>
      <c r="H457" s="69" t="e">
        <f>Planilha!#REF!</f>
        <v>#REF!</v>
      </c>
    </row>
    <row r="458" spans="1:8" s="25" customFormat="1" ht="5.25" customHeight="1">
      <c r="A458" s="11"/>
      <c r="B458" s="11"/>
      <c r="C458" s="47"/>
      <c r="D458" s="47"/>
      <c r="E458" s="80"/>
      <c r="F458" s="80"/>
      <c r="G458" s="10"/>
      <c r="H458" s="59"/>
    </row>
    <row r="459" spans="1:8" ht="14.25" customHeight="1">
      <c r="A459" s="82" t="str">
        <f>Planilha!A150</f>
        <v>13.2</v>
      </c>
      <c r="B459" s="321" t="str">
        <f>Planilha!D150</f>
        <v>BACIA SANITÁRIA INFANTIL</v>
      </c>
      <c r="C459" s="321"/>
      <c r="D459" s="321"/>
      <c r="E459" s="321"/>
      <c r="F459" s="321"/>
      <c r="G459" s="321"/>
      <c r="H459" s="322"/>
    </row>
    <row r="460" spans="1:8" s="25" customFormat="1" ht="14.25" customHeight="1">
      <c r="A460" s="65" t="str">
        <f>$L$8</f>
        <v>Conta</v>
      </c>
      <c r="B460" s="317"/>
      <c r="C460" s="317"/>
      <c r="D460" s="317"/>
      <c r="E460" s="324" t="s">
        <v>123</v>
      </c>
      <c r="F460" s="324"/>
      <c r="G460" s="68">
        <v>2</v>
      </c>
      <c r="H460" s="69" t="str">
        <f>Planilha!F150</f>
        <v>UN</v>
      </c>
    </row>
    <row r="461" spans="1:8" ht="5.25" customHeight="1" outlineLevel="1">
      <c r="C461" s="47"/>
      <c r="D461" s="47"/>
      <c r="E461" s="80"/>
      <c r="F461" s="80"/>
    </row>
    <row r="462" spans="1:8" ht="14.25" customHeight="1">
      <c r="A462" s="82" t="e">
        <f>Planilha!#REF!</f>
        <v>#REF!</v>
      </c>
      <c r="B462" s="321" t="e">
        <f>Planilha!#REF!</f>
        <v>#REF!</v>
      </c>
      <c r="C462" s="321"/>
      <c r="D462" s="321"/>
      <c r="E462" s="321"/>
      <c r="F462" s="321"/>
      <c r="G462" s="321"/>
      <c r="H462" s="322"/>
    </row>
    <row r="463" spans="1:8" s="25" customFormat="1" ht="14.25" customHeight="1">
      <c r="A463" s="65" t="str">
        <f>$L$8</f>
        <v>Conta</v>
      </c>
      <c r="B463" s="317"/>
      <c r="C463" s="317"/>
      <c r="D463" s="317"/>
      <c r="E463" s="324" t="s">
        <v>123</v>
      </c>
      <c r="F463" s="324"/>
      <c r="G463" s="68">
        <v>2</v>
      </c>
      <c r="H463" s="69" t="e">
        <f>Planilha!#REF!</f>
        <v>#REF!</v>
      </c>
    </row>
    <row r="464" spans="1:8" ht="5.25" customHeight="1">
      <c r="C464" s="47"/>
      <c r="D464" s="47"/>
      <c r="E464" s="80"/>
      <c r="F464" s="80"/>
    </row>
    <row r="465" spans="1:8" s="25" customFormat="1" ht="14.25" customHeight="1">
      <c r="A465" s="82" t="str">
        <f>Planilha!A151</f>
        <v>13.3</v>
      </c>
      <c r="B465" s="321" t="str">
        <f>Planilha!D151</f>
        <v>PAPELEIRA DE LOUCA BRANCA DE 15X15CM</v>
      </c>
      <c r="C465" s="321"/>
      <c r="D465" s="321"/>
      <c r="E465" s="321"/>
      <c r="F465" s="321"/>
      <c r="G465" s="321"/>
      <c r="H465" s="322"/>
    </row>
    <row r="466" spans="1:8" ht="14.25" customHeight="1" outlineLevel="1">
      <c r="A466" s="65" t="str">
        <f>$L$8</f>
        <v>Conta</v>
      </c>
      <c r="B466" s="317"/>
      <c r="C466" s="317"/>
      <c r="D466" s="317"/>
      <c r="E466" s="324" t="s">
        <v>123</v>
      </c>
      <c r="F466" s="324"/>
      <c r="G466" s="68">
        <v>2</v>
      </c>
      <c r="H466" s="69" t="str">
        <f>Planilha!F151</f>
        <v>UN</v>
      </c>
    </row>
    <row r="467" spans="1:8" ht="5.25" customHeight="1">
      <c r="C467" s="47"/>
      <c r="D467" s="47"/>
      <c r="E467" s="80"/>
      <c r="F467" s="80"/>
    </row>
    <row r="468" spans="1:8" s="25" customFormat="1" ht="14.25" customHeight="1">
      <c r="A468" s="82" t="str">
        <f>Planilha!A152</f>
        <v>13.4</v>
      </c>
      <c r="B468" s="321" t="str">
        <f>Planilha!D152</f>
        <v>LT-06 LAVATÓRIO COLETIVO COM TORNEIRA ANTIVANDALISMO</v>
      </c>
      <c r="C468" s="321"/>
      <c r="D468" s="321"/>
      <c r="E468" s="321"/>
      <c r="F468" s="321"/>
      <c r="G468" s="321"/>
      <c r="H468" s="322"/>
    </row>
    <row r="469" spans="1:8" ht="14.25" customHeight="1" outlineLevel="1">
      <c r="A469" s="65" t="str">
        <f>$L$8</f>
        <v>Conta</v>
      </c>
      <c r="B469" s="317"/>
      <c r="C469" s="317"/>
      <c r="D469" s="317"/>
      <c r="E469" s="324" t="s">
        <v>123</v>
      </c>
      <c r="F469" s="324"/>
      <c r="G469" s="68">
        <v>3</v>
      </c>
      <c r="H469" s="69" t="str">
        <f>Planilha!F152</f>
        <v>M</v>
      </c>
    </row>
    <row r="470" spans="1:8" ht="5.25" customHeight="1">
      <c r="C470" s="47"/>
      <c r="D470" s="47"/>
      <c r="E470" s="80"/>
      <c r="F470" s="80"/>
    </row>
    <row r="471" spans="1:8" s="25" customFormat="1" ht="14.25" customHeight="1">
      <c r="A471" s="82" t="str">
        <f>Planilha!A153</f>
        <v>13.5</v>
      </c>
      <c r="B471" s="321" t="str">
        <f>Planilha!D153</f>
        <v>SABONETEIRA DE LOUCA BRANCA DE 7,5X15 CM</v>
      </c>
      <c r="C471" s="321"/>
      <c r="D471" s="321"/>
      <c r="E471" s="321"/>
      <c r="F471" s="321"/>
      <c r="G471" s="321"/>
      <c r="H471" s="322"/>
    </row>
    <row r="472" spans="1:8" ht="14.25" customHeight="1" outlineLevel="1">
      <c r="A472" s="65" t="str">
        <f>$L$8</f>
        <v>Conta</v>
      </c>
      <c r="B472" s="317"/>
      <c r="C472" s="317"/>
      <c r="D472" s="317"/>
      <c r="E472" s="324" t="s">
        <v>123</v>
      </c>
      <c r="F472" s="324"/>
      <c r="G472" s="68">
        <v>2</v>
      </c>
      <c r="H472" s="69" t="str">
        <f>Planilha!F153</f>
        <v>UN</v>
      </c>
    </row>
    <row r="473" spans="1:8" ht="5.25" customHeight="1">
      <c r="C473" s="47"/>
      <c r="D473" s="47"/>
      <c r="E473" s="80"/>
      <c r="F473" s="80"/>
    </row>
    <row r="474" spans="1:8" ht="14.25" customHeight="1" outlineLevel="1">
      <c r="A474" s="82" t="e">
        <f>Planilha!#REF!</f>
        <v>#REF!</v>
      </c>
      <c r="B474" s="321" t="str">
        <f>Planilha!D154</f>
        <v>DISPENSER TOALHEIRO EM ABS, PARA FOLHAS</v>
      </c>
      <c r="C474" s="321"/>
      <c r="D474" s="321"/>
      <c r="E474" s="321"/>
      <c r="F474" s="321"/>
      <c r="G474" s="321"/>
      <c r="H474" s="322"/>
    </row>
    <row r="475" spans="1:8" ht="14.25" customHeight="1" outlineLevel="1">
      <c r="A475" s="65" t="str">
        <f>$L$8</f>
        <v>Conta</v>
      </c>
      <c r="B475" s="317"/>
      <c r="C475" s="317"/>
      <c r="D475" s="317"/>
      <c r="E475" s="324" t="s">
        <v>123</v>
      </c>
      <c r="F475" s="324"/>
      <c r="G475" s="68">
        <v>2</v>
      </c>
      <c r="H475" s="69" t="e">
        <f>Planilha!#REF!</f>
        <v>#REF!</v>
      </c>
    </row>
    <row r="476" spans="1:8" ht="5.25" customHeight="1">
      <c r="C476" s="47"/>
      <c r="D476" s="47"/>
      <c r="E476" s="80"/>
      <c r="F476" s="80"/>
    </row>
    <row r="477" spans="1:8" s="25" customFormat="1" ht="14.25" customHeight="1">
      <c r="A477" s="82" t="e">
        <f>Planilha!#REF!</f>
        <v>#REF!</v>
      </c>
      <c r="B477" s="321" t="e">
        <f>Planilha!#REF!</f>
        <v>#REF!</v>
      </c>
      <c r="C477" s="321"/>
      <c r="D477" s="321"/>
      <c r="E477" s="321"/>
      <c r="F477" s="321"/>
      <c r="G477" s="321"/>
      <c r="H477" s="322"/>
    </row>
    <row r="478" spans="1:8" ht="14.25" customHeight="1">
      <c r="A478" s="65" t="str">
        <f>$L$8</f>
        <v>Conta</v>
      </c>
      <c r="B478" s="317"/>
      <c r="C478" s="317"/>
      <c r="D478" s="317"/>
      <c r="E478" s="324" t="s">
        <v>123</v>
      </c>
      <c r="F478" s="324"/>
      <c r="G478" s="68">
        <v>1</v>
      </c>
      <c r="H478" s="69" t="e">
        <f>Planilha!#REF!</f>
        <v>#REF!</v>
      </c>
    </row>
    <row r="479" spans="1:8" ht="5.25" customHeight="1" outlineLevel="1">
      <c r="C479" s="47"/>
      <c r="D479" s="47"/>
      <c r="E479" s="80"/>
      <c r="F479" s="80"/>
    </row>
    <row r="480" spans="1:8" ht="14.25" customHeight="1" outlineLevel="1">
      <c r="A480" s="82" t="e">
        <f>Planilha!#REF!</f>
        <v>#REF!</v>
      </c>
      <c r="B480" s="321" t="e">
        <f>Planilha!#REF!</f>
        <v>#REF!</v>
      </c>
      <c r="C480" s="321"/>
      <c r="D480" s="321"/>
      <c r="E480" s="321"/>
      <c r="F480" s="321"/>
      <c r="G480" s="321"/>
      <c r="H480" s="322"/>
    </row>
    <row r="481" spans="1:8" ht="14.25" customHeight="1">
      <c r="A481" s="65" t="str">
        <f>$L$8</f>
        <v>Conta</v>
      </c>
      <c r="B481" s="317"/>
      <c r="C481" s="317"/>
      <c r="D481" s="317"/>
      <c r="E481" s="324" t="s">
        <v>123</v>
      </c>
      <c r="F481" s="324"/>
      <c r="G481" s="68">
        <v>3</v>
      </c>
      <c r="H481" s="69" t="e">
        <f>Planilha!#REF!</f>
        <v>#REF!</v>
      </c>
    </row>
    <row r="482" spans="1:8" s="25" customFormat="1" ht="5.25" customHeight="1">
      <c r="A482" s="11"/>
      <c r="B482" s="11"/>
      <c r="C482" s="47"/>
      <c r="D482" s="47"/>
      <c r="E482" s="80"/>
      <c r="F482" s="80"/>
      <c r="G482" s="10"/>
      <c r="H482" s="59"/>
    </row>
    <row r="483" spans="1:8" ht="14.25" customHeight="1" outlineLevel="1">
      <c r="A483" s="71" t="e">
        <f>Planilha!#REF!</f>
        <v>#REF!</v>
      </c>
      <c r="B483" s="328" t="e">
        <f>Planilha!#REF!</f>
        <v>#REF!</v>
      </c>
      <c r="C483" s="328"/>
      <c r="D483" s="328"/>
      <c r="E483" s="328"/>
      <c r="F483" s="328"/>
      <c r="G483" s="328"/>
      <c r="H483" s="328"/>
    </row>
    <row r="484" spans="1:8" ht="5.25" customHeight="1">
      <c r="C484" s="47"/>
      <c r="D484" s="47"/>
      <c r="E484" s="80"/>
      <c r="F484" s="80"/>
    </row>
    <row r="485" spans="1:8" s="25" customFormat="1" ht="14.25" customHeight="1">
      <c r="A485" s="82" t="e">
        <f>Planilha!#REF!</f>
        <v>#REF!</v>
      </c>
      <c r="B485" s="321" t="e">
        <f>Planilha!#REF!</f>
        <v>#REF!</v>
      </c>
      <c r="C485" s="321"/>
      <c r="D485" s="321"/>
      <c r="E485" s="321"/>
      <c r="F485" s="321"/>
      <c r="G485" s="321"/>
      <c r="H485" s="322"/>
    </row>
    <row r="486" spans="1:8" ht="14.25" customHeight="1" outlineLevel="1">
      <c r="A486" s="65" t="str">
        <f>$L$8</f>
        <v>Conta</v>
      </c>
      <c r="B486" s="317"/>
      <c r="C486" s="317"/>
      <c r="D486" s="317"/>
      <c r="E486" s="324" t="s">
        <v>123</v>
      </c>
      <c r="F486" s="324"/>
      <c r="G486" s="68">
        <v>1</v>
      </c>
      <c r="H486" s="69" t="e">
        <f>Planilha!#REF!</f>
        <v>#REF!</v>
      </c>
    </row>
    <row r="487" spans="1:8" ht="5.25" customHeight="1">
      <c r="C487" s="47"/>
      <c r="D487" s="47"/>
      <c r="E487" s="80"/>
      <c r="F487" s="80"/>
    </row>
    <row r="488" spans="1:8" s="25" customFormat="1" ht="14.25" customHeight="1">
      <c r="A488" s="82" t="e">
        <f>Planilha!#REF!</f>
        <v>#REF!</v>
      </c>
      <c r="B488" s="321" t="e">
        <f>Planilha!#REF!</f>
        <v>#REF!</v>
      </c>
      <c r="C488" s="321"/>
      <c r="D488" s="321"/>
      <c r="E488" s="321"/>
      <c r="F488" s="321"/>
      <c r="G488" s="321"/>
      <c r="H488" s="322"/>
    </row>
    <row r="489" spans="1:8" ht="14.25" customHeight="1" outlineLevel="1">
      <c r="A489" s="65" t="str">
        <f>$L$8</f>
        <v>Conta</v>
      </c>
      <c r="B489" s="317"/>
      <c r="C489" s="317"/>
      <c r="D489" s="317"/>
      <c r="E489" s="324" t="s">
        <v>123</v>
      </c>
      <c r="F489" s="324"/>
      <c r="G489" s="68">
        <v>1</v>
      </c>
      <c r="H489" s="69" t="e">
        <f>Planilha!#REF!</f>
        <v>#REF!</v>
      </c>
    </row>
    <row r="490" spans="1:8" ht="5.25" customHeight="1">
      <c r="C490" s="47"/>
      <c r="D490" s="47"/>
      <c r="E490" s="80"/>
      <c r="F490" s="80"/>
    </row>
    <row r="491" spans="1:8" s="25" customFormat="1" ht="14.25" customHeight="1">
      <c r="A491" s="82" t="e">
        <f>Planilha!#REF!</f>
        <v>#REF!</v>
      </c>
      <c r="B491" s="321" t="e">
        <f>Planilha!#REF!</f>
        <v>#REF!</v>
      </c>
      <c r="C491" s="321"/>
      <c r="D491" s="321"/>
      <c r="E491" s="321"/>
      <c r="F491" s="321"/>
      <c r="G491" s="321"/>
      <c r="H491" s="322"/>
    </row>
    <row r="492" spans="1:8" ht="14.25" customHeight="1" outlineLevel="1">
      <c r="A492" s="65" t="str">
        <f>$L$8</f>
        <v>Conta</v>
      </c>
      <c r="B492" s="317"/>
      <c r="C492" s="317"/>
      <c r="D492" s="317"/>
      <c r="E492" s="324" t="s">
        <v>123</v>
      </c>
      <c r="F492" s="324"/>
      <c r="G492" s="68">
        <v>6</v>
      </c>
      <c r="H492" s="69" t="e">
        <f>Planilha!#REF!</f>
        <v>#REF!</v>
      </c>
    </row>
    <row r="493" spans="1:8" ht="5.25" customHeight="1">
      <c r="C493" s="47"/>
      <c r="D493" s="47"/>
      <c r="E493" s="80"/>
      <c r="F493" s="80"/>
    </row>
    <row r="494" spans="1:8" s="25" customFormat="1" ht="14.25" customHeight="1">
      <c r="A494" s="82" t="e">
        <f>Planilha!#REF!</f>
        <v>#REF!</v>
      </c>
      <c r="B494" s="321" t="e">
        <f>Planilha!#REF!</f>
        <v>#REF!</v>
      </c>
      <c r="C494" s="321"/>
      <c r="D494" s="321"/>
      <c r="E494" s="321"/>
      <c r="F494" s="321"/>
      <c r="G494" s="321"/>
      <c r="H494" s="322"/>
    </row>
    <row r="495" spans="1:8" ht="14.25" customHeight="1" outlineLevel="1">
      <c r="A495" s="72"/>
      <c r="B495" s="318" t="s">
        <v>145</v>
      </c>
      <c r="C495" s="318"/>
      <c r="D495" s="318"/>
      <c r="E495" s="314">
        <v>3</v>
      </c>
      <c r="F495" s="314"/>
      <c r="G495" s="315" t="s">
        <v>39</v>
      </c>
      <c r="H495" s="316"/>
    </row>
    <row r="496" spans="1:8" ht="14.25" customHeight="1">
      <c r="A496" s="65" t="str">
        <f>$L$8</f>
        <v>Conta</v>
      </c>
      <c r="B496" s="317"/>
      <c r="C496" s="317"/>
      <c r="D496" s="317"/>
      <c r="E496" s="324" t="s">
        <v>123</v>
      </c>
      <c r="F496" s="324"/>
      <c r="G496" s="68">
        <v>1</v>
      </c>
      <c r="H496" s="69" t="e">
        <f>Planilha!#REF!</f>
        <v>#REF!</v>
      </c>
    </row>
    <row r="497" spans="1:8" s="25" customFormat="1" ht="5.25" customHeight="1">
      <c r="A497" s="11"/>
      <c r="B497" s="11"/>
      <c r="C497" s="47"/>
      <c r="D497" s="47"/>
      <c r="E497" s="324"/>
      <c r="F497" s="324"/>
      <c r="G497" s="68"/>
      <c r="H497" s="69"/>
    </row>
    <row r="498" spans="1:8" ht="14.25" customHeight="1" outlineLevel="1">
      <c r="A498" s="82" t="e">
        <f>Planilha!#REF!</f>
        <v>#REF!</v>
      </c>
      <c r="B498" s="321" t="e">
        <f>Planilha!#REF!</f>
        <v>#REF!</v>
      </c>
      <c r="C498" s="321"/>
      <c r="D498" s="321"/>
      <c r="E498" s="321"/>
      <c r="F498" s="321"/>
      <c r="G498" s="321"/>
      <c r="H498" s="322"/>
    </row>
    <row r="499" spans="1:8" ht="14.25" customHeight="1">
      <c r="A499" s="65" t="str">
        <f>$L$8</f>
        <v>Conta</v>
      </c>
      <c r="B499" s="317"/>
      <c r="C499" s="317"/>
      <c r="D499" s="317"/>
      <c r="E499" s="324" t="s">
        <v>123</v>
      </c>
      <c r="F499" s="324"/>
      <c r="G499" s="68">
        <v>1</v>
      </c>
      <c r="H499" s="69" t="e">
        <f>Planilha!#REF!</f>
        <v>#REF!</v>
      </c>
    </row>
    <row r="500" spans="1:8" s="25" customFormat="1" ht="5.25" customHeight="1">
      <c r="A500" s="11"/>
      <c r="B500" s="11"/>
      <c r="C500" s="47"/>
      <c r="D500" s="47"/>
      <c r="E500" s="80"/>
      <c r="F500" s="80"/>
      <c r="G500" s="10"/>
      <c r="H500" s="59"/>
    </row>
    <row r="501" spans="1:8" ht="14.25" customHeight="1" outlineLevel="1">
      <c r="A501" s="71">
        <f>Planilha!A185</f>
        <v>15</v>
      </c>
      <c r="B501" s="328" t="str">
        <f>Planilha!D185</f>
        <v>ÁREAS EXTERNAS</v>
      </c>
      <c r="C501" s="328"/>
      <c r="D501" s="328"/>
      <c r="E501" s="328"/>
      <c r="F501" s="328"/>
      <c r="G501" s="328"/>
      <c r="H501" s="328"/>
    </row>
    <row r="502" spans="1:8" ht="6.75" customHeight="1">
      <c r="C502" s="47"/>
      <c r="D502" s="47"/>
      <c r="E502" s="80"/>
      <c r="F502" s="80"/>
    </row>
    <row r="503" spans="1:8" s="25" customFormat="1" ht="14.25" customHeight="1">
      <c r="A503" s="49">
        <f>Planilha!A186</f>
        <v>0</v>
      </c>
      <c r="B503" s="333" t="str">
        <f>Planilha!D186</f>
        <v>PAVIMENTAÇÃO EXTERNA</v>
      </c>
      <c r="C503" s="333"/>
      <c r="D503" s="333"/>
      <c r="E503" s="333"/>
      <c r="F503" s="333"/>
      <c r="G503" s="333"/>
      <c r="H503" s="333"/>
    </row>
    <row r="504" spans="1:8" ht="5.25" customHeight="1" outlineLevel="1">
      <c r="C504" s="47"/>
      <c r="D504" s="47"/>
      <c r="E504" s="80"/>
      <c r="F504" s="80"/>
    </row>
    <row r="505" spans="1:8" ht="14.25" customHeight="1">
      <c r="A505" s="82" t="str">
        <f>Planilha!A187</f>
        <v>15.1</v>
      </c>
      <c r="B505" s="321" t="str">
        <f>Planilha!D187</f>
        <v>LASTRO DE PEDRA BRITADA - 5CM</v>
      </c>
      <c r="C505" s="321"/>
      <c r="D505" s="321"/>
      <c r="E505" s="321"/>
      <c r="F505" s="321"/>
      <c r="G505" s="321"/>
      <c r="H505" s="322"/>
    </row>
    <row r="506" spans="1:8" s="25" customFormat="1" ht="14.25" customHeight="1">
      <c r="A506" s="72"/>
      <c r="B506" s="318" t="s">
        <v>184</v>
      </c>
      <c r="C506" s="318"/>
      <c r="D506" s="318"/>
      <c r="E506" s="314">
        <v>50.1</v>
      </c>
      <c r="F506" s="314"/>
      <c r="G506" s="315" t="s">
        <v>32</v>
      </c>
      <c r="H506" s="316"/>
    </row>
    <row r="507" spans="1:8" ht="14.25" customHeight="1">
      <c r="A507" s="72"/>
      <c r="B507" s="318" t="s">
        <v>147</v>
      </c>
      <c r="C507" s="318"/>
      <c r="D507" s="318"/>
      <c r="E507" s="314">
        <v>0.02</v>
      </c>
      <c r="F507" s="314"/>
      <c r="G507" s="315" t="s">
        <v>39</v>
      </c>
      <c r="H507" s="316"/>
    </row>
    <row r="508" spans="1:8" s="25" customFormat="1" ht="14.25" customHeight="1">
      <c r="A508" s="65" t="str">
        <f>$L$8</f>
        <v>Conta</v>
      </c>
      <c r="B508" s="317" t="s">
        <v>190</v>
      </c>
      <c r="C508" s="317"/>
      <c r="D508" s="317"/>
      <c r="E508" s="324" t="s">
        <v>123</v>
      </c>
      <c r="F508" s="324"/>
      <c r="G508" s="68">
        <f>ROUND(50.1*0.02,2)</f>
        <v>1</v>
      </c>
      <c r="H508" s="69" t="str">
        <f>Planilha!F187</f>
        <v>M²</v>
      </c>
    </row>
    <row r="509" spans="1:8" ht="3.75" customHeight="1" outlineLevel="1">
      <c r="C509" s="47"/>
      <c r="D509" s="47"/>
      <c r="E509" s="80"/>
      <c r="F509" s="80"/>
    </row>
    <row r="510" spans="1:8" ht="14.25" customHeight="1">
      <c r="A510" s="82" t="str">
        <f>Planilha!A188</f>
        <v>15.2</v>
      </c>
      <c r="B510" s="321" t="str">
        <f>Planilha!D188</f>
        <v>PISO DE CONCRETO FCK=25MPA E=5CM</v>
      </c>
      <c r="C510" s="321"/>
      <c r="D510" s="321"/>
      <c r="E510" s="321"/>
      <c r="F510" s="321"/>
      <c r="G510" s="321"/>
      <c r="H510" s="322"/>
    </row>
    <row r="511" spans="1:8" s="25" customFormat="1" ht="14.25" customHeight="1">
      <c r="A511" s="72"/>
      <c r="B511" s="318" t="s">
        <v>184</v>
      </c>
      <c r="C511" s="318"/>
      <c r="D511" s="318"/>
      <c r="E511" s="314">
        <v>50.1</v>
      </c>
      <c r="F511" s="314"/>
      <c r="G511" s="315" t="s">
        <v>32</v>
      </c>
      <c r="H511" s="316"/>
    </row>
    <row r="512" spans="1:8" ht="14.25" customHeight="1" outlineLevel="1">
      <c r="A512" s="65" t="str">
        <f>$L$8</f>
        <v>Conta</v>
      </c>
      <c r="B512" s="317"/>
      <c r="C512" s="317"/>
      <c r="D512" s="317"/>
      <c r="E512" s="324" t="s">
        <v>123</v>
      </c>
      <c r="F512" s="324"/>
      <c r="G512" s="68">
        <v>50.1</v>
      </c>
      <c r="H512" s="69" t="str">
        <f>Planilha!F188</f>
        <v>M²</v>
      </c>
    </row>
    <row r="513" spans="1:8" ht="5.25" customHeight="1">
      <c r="C513" s="47"/>
      <c r="D513" s="47"/>
      <c r="E513" s="80"/>
      <c r="F513" s="80"/>
    </row>
    <row r="514" spans="1:8" s="25" customFormat="1" ht="25.5" customHeight="1">
      <c r="A514" s="73" t="e">
        <f>Planilha!#REF!</f>
        <v>#REF!</v>
      </c>
      <c r="B514" s="319" t="e">
        <f>Planilha!#REF!</f>
        <v>#REF!</v>
      </c>
      <c r="C514" s="319"/>
      <c r="D514" s="319"/>
      <c r="E514" s="319"/>
      <c r="F514" s="319"/>
      <c r="G514" s="319"/>
      <c r="H514" s="320"/>
    </row>
    <row r="515" spans="1:8" ht="14.25" customHeight="1" outlineLevel="1">
      <c r="A515" s="72"/>
      <c r="B515" s="318" t="s">
        <v>184</v>
      </c>
      <c r="C515" s="318"/>
      <c r="D515" s="318"/>
      <c r="E515" s="314">
        <v>50.1</v>
      </c>
      <c r="F515" s="314"/>
      <c r="G515" s="315" t="s">
        <v>32</v>
      </c>
      <c r="H515" s="316"/>
    </row>
    <row r="516" spans="1:8" ht="14.25" customHeight="1">
      <c r="A516" s="65" t="str">
        <f>$L$8</f>
        <v>Conta</v>
      </c>
      <c r="B516" s="317"/>
      <c r="C516" s="317"/>
      <c r="D516" s="317"/>
      <c r="E516" s="324" t="s">
        <v>123</v>
      </c>
      <c r="F516" s="324"/>
      <c r="G516" s="68">
        <v>50.1</v>
      </c>
      <c r="H516" s="69" t="e">
        <f>Planilha!#REF!</f>
        <v>#REF!</v>
      </c>
    </row>
    <row r="517" spans="1:8" s="25" customFormat="1" ht="5.25" customHeight="1">
      <c r="A517" s="11"/>
      <c r="B517" s="11"/>
      <c r="C517" s="47"/>
      <c r="D517" s="47"/>
      <c r="E517" s="80"/>
      <c r="F517" s="80"/>
      <c r="G517" s="10"/>
      <c r="H517" s="59"/>
    </row>
    <row r="518" spans="1:8" ht="14.25" customHeight="1" outlineLevel="1">
      <c r="A518" s="71">
        <f>Planilha!A189</f>
        <v>16</v>
      </c>
      <c r="B518" s="328" t="str">
        <f>Planilha!D189</f>
        <v>SERVIÇOS FINAIS</v>
      </c>
      <c r="C518" s="328"/>
      <c r="D518" s="328"/>
      <c r="E518" s="328"/>
      <c r="F518" s="328"/>
      <c r="G518" s="328"/>
      <c r="H518" s="328"/>
    </row>
    <row r="519" spans="1:8" ht="3.75" customHeight="1" outlineLevel="1">
      <c r="C519" s="47"/>
      <c r="D519" s="47"/>
      <c r="E519" s="80"/>
      <c r="F519" s="80"/>
    </row>
    <row r="520" spans="1:8" ht="14.25" customHeight="1">
      <c r="A520" s="82" t="str">
        <f>Planilha!A190</f>
        <v>16.1</v>
      </c>
      <c r="B520" s="321" t="str">
        <f>Planilha!D190</f>
        <v>LIMPEZA DA OBRA</v>
      </c>
      <c r="C520" s="321"/>
      <c r="D520" s="321"/>
      <c r="E520" s="321"/>
      <c r="F520" s="321"/>
      <c r="G520" s="321"/>
      <c r="H520" s="322"/>
    </row>
    <row r="521" spans="1:8" s="25" customFormat="1" ht="14.25" customHeight="1">
      <c r="A521" s="72"/>
      <c r="B521" s="318" t="s">
        <v>191</v>
      </c>
      <c r="C521" s="318"/>
      <c r="D521" s="318"/>
      <c r="E521" s="314">
        <v>131.66999999999999</v>
      </c>
      <c r="F521" s="314"/>
      <c r="G521" s="315"/>
      <c r="H521" s="316"/>
    </row>
    <row r="522" spans="1:8" ht="14.25" customHeight="1" outlineLevel="1">
      <c r="A522" s="65" t="str">
        <f>$L$8</f>
        <v>Conta</v>
      </c>
      <c r="B522" s="317"/>
      <c r="C522" s="317"/>
      <c r="D522" s="317"/>
      <c r="E522" s="324" t="s">
        <v>123</v>
      </c>
      <c r="F522" s="324"/>
      <c r="G522" s="68">
        <v>131.66999999999999</v>
      </c>
      <c r="H522" s="69" t="str">
        <f>Planilha!F190</f>
        <v>M²</v>
      </c>
    </row>
    <row r="523" spans="1:8" ht="5.25" customHeight="1">
      <c r="C523" s="47"/>
      <c r="D523" s="47"/>
      <c r="E523" s="80"/>
      <c r="F523" s="80"/>
    </row>
    <row r="524" spans="1:8" s="25" customFormat="1" ht="14.25" customHeight="1">
      <c r="A524" s="11"/>
      <c r="B524" s="11"/>
      <c r="C524" s="12"/>
      <c r="D524" s="12"/>
      <c r="E524" s="10"/>
      <c r="F524" s="10"/>
      <c r="G524" s="10"/>
      <c r="H524" s="59"/>
    </row>
    <row r="525" spans="1:8" ht="14.25" customHeight="1"/>
    <row r="526" spans="1:8" s="50" customFormat="1" ht="14.25" customHeight="1">
      <c r="A526" s="11"/>
      <c r="B526" s="11"/>
      <c r="C526" s="12"/>
      <c r="D526" s="12"/>
      <c r="E526" s="10"/>
      <c r="F526" s="10"/>
      <c r="G526" s="10"/>
      <c r="H526" s="59"/>
    </row>
    <row r="527" spans="1:8" ht="5.25" customHeight="1"/>
    <row r="528" spans="1:8" s="25" customFormat="1" ht="25.5" customHeight="1">
      <c r="A528" s="11"/>
      <c r="B528" s="11"/>
      <c r="C528" s="12"/>
      <c r="D528" s="12"/>
      <c r="E528" s="10"/>
      <c r="F528" s="10"/>
      <c r="G528" s="10"/>
      <c r="H528" s="59"/>
    </row>
    <row r="529" spans="1:8" ht="14.25" customHeight="1" outlineLevel="1"/>
    <row r="530" spans="1:8" ht="14.25" customHeight="1" outlineLevel="1"/>
    <row r="531" spans="1:8" ht="5.25" customHeight="1" outlineLevel="1"/>
    <row r="532" spans="1:8" ht="14.25" customHeight="1"/>
    <row r="533" spans="1:8" s="25" customFormat="1" ht="5.25" customHeight="1">
      <c r="A533" s="11"/>
      <c r="B533" s="11"/>
      <c r="C533" s="12"/>
      <c r="D533" s="12"/>
      <c r="E533" s="10"/>
      <c r="F533" s="10"/>
      <c r="G533" s="10"/>
      <c r="H533" s="59"/>
    </row>
    <row r="534" spans="1:8" ht="14.25" customHeight="1" outlineLevel="1"/>
    <row r="535" spans="1:8" ht="14.25" customHeight="1" outlineLevel="1"/>
    <row r="536" spans="1:8" ht="14.25" customHeight="1"/>
    <row r="537" spans="1:8" ht="14.25" customHeight="1" outlineLevel="1"/>
    <row r="538" spans="1:8" ht="14.25" customHeight="1" outlineLevel="1"/>
    <row r="539" spans="1:8" ht="14.25" customHeight="1" outlineLevel="1"/>
    <row r="540" spans="1:8" ht="5.25" customHeight="1"/>
    <row r="541" spans="1:8" s="25" customFormat="1" ht="14.25" customHeight="1">
      <c r="A541" s="11"/>
      <c r="B541" s="11"/>
      <c r="C541" s="12"/>
      <c r="D541" s="12"/>
      <c r="E541" s="10"/>
      <c r="F541" s="10"/>
      <c r="G541" s="10"/>
      <c r="H541" s="59"/>
    </row>
    <row r="542" spans="1:8" ht="5.25" customHeight="1"/>
    <row r="543" spans="1:8" s="25" customFormat="1" ht="14.25" customHeight="1">
      <c r="A543" s="11"/>
      <c r="B543" s="11"/>
      <c r="C543" s="12"/>
      <c r="D543" s="12"/>
      <c r="E543" s="10"/>
      <c r="F543" s="10"/>
      <c r="G543" s="10"/>
      <c r="H543" s="59"/>
    </row>
    <row r="544" spans="1:8" ht="14.25" customHeight="1" outlineLevel="1"/>
    <row r="545" ht="14.25" customHeight="1" outlineLevel="1"/>
    <row r="546" ht="5.25" customHeight="1"/>
  </sheetData>
  <mergeCells count="875">
    <mergeCell ref="B130:D130"/>
    <mergeCell ref="E130:F130"/>
    <mergeCell ref="B128:D128"/>
    <mergeCell ref="E128:F128"/>
    <mergeCell ref="G128:H128"/>
    <mergeCell ref="B129:D129"/>
    <mergeCell ref="E129:F129"/>
    <mergeCell ref="B106:H106"/>
    <mergeCell ref="B108:H108"/>
    <mergeCell ref="B109:D109"/>
    <mergeCell ref="E109:F109"/>
    <mergeCell ref="G109:H109"/>
    <mergeCell ref="G111:H111"/>
    <mergeCell ref="B112:D112"/>
    <mergeCell ref="E112:F112"/>
    <mergeCell ref="B114:H114"/>
    <mergeCell ref="G117:H117"/>
    <mergeCell ref="B118:D118"/>
    <mergeCell ref="E118:F118"/>
    <mergeCell ref="B120:H120"/>
    <mergeCell ref="G123:H123"/>
    <mergeCell ref="B124:D124"/>
    <mergeCell ref="E124:F124"/>
    <mergeCell ref="B126:H126"/>
    <mergeCell ref="G129:H129"/>
    <mergeCell ref="B123:D123"/>
    <mergeCell ref="E123:F123"/>
    <mergeCell ref="B127:D127"/>
    <mergeCell ref="E127:F127"/>
    <mergeCell ref="G127:H127"/>
    <mergeCell ref="B121:D121"/>
    <mergeCell ref="E121:F121"/>
    <mergeCell ref="G121:H121"/>
    <mergeCell ref="B122:D122"/>
    <mergeCell ref="E122:F122"/>
    <mergeCell ref="G122:H122"/>
    <mergeCell ref="E116:F116"/>
    <mergeCell ref="G116:H116"/>
    <mergeCell ref="B117:D117"/>
    <mergeCell ref="E117:F117"/>
    <mergeCell ref="B110:D110"/>
    <mergeCell ref="E110:F110"/>
    <mergeCell ref="G110:H110"/>
    <mergeCell ref="B111:D111"/>
    <mergeCell ref="E111:F111"/>
    <mergeCell ref="I89:J89"/>
    <mergeCell ref="B29:D29"/>
    <mergeCell ref="E29:F29"/>
    <mergeCell ref="G29:H29"/>
    <mergeCell ref="B34:D34"/>
    <mergeCell ref="E34:F34"/>
    <mergeCell ref="G34:H34"/>
    <mergeCell ref="B56:D56"/>
    <mergeCell ref="E56:F56"/>
    <mergeCell ref="G56:H56"/>
    <mergeCell ref="G35:H35"/>
    <mergeCell ref="B36:D36"/>
    <mergeCell ref="E36:F36"/>
    <mergeCell ref="G36:H36"/>
    <mergeCell ref="B37:D37"/>
    <mergeCell ref="E37:F37"/>
    <mergeCell ref="G37:H37"/>
    <mergeCell ref="B38:D38"/>
    <mergeCell ref="E38:F38"/>
    <mergeCell ref="G38:H38"/>
    <mergeCell ref="E83:F83"/>
    <mergeCell ref="G83:H83"/>
    <mergeCell ref="G85:H85"/>
    <mergeCell ref="B59:D59"/>
    <mergeCell ref="E355:F355"/>
    <mergeCell ref="B392:D392"/>
    <mergeCell ref="E392:F392"/>
    <mergeCell ref="G392:H392"/>
    <mergeCell ref="B298:D298"/>
    <mergeCell ref="B299:D299"/>
    <mergeCell ref="E298:F298"/>
    <mergeCell ref="E299:F299"/>
    <mergeCell ref="G298:H298"/>
    <mergeCell ref="G299:H299"/>
    <mergeCell ref="B383:D383"/>
    <mergeCell ref="B384:D384"/>
    <mergeCell ref="E383:F383"/>
    <mergeCell ref="E384:F384"/>
    <mergeCell ref="G383:H383"/>
    <mergeCell ref="G384:H384"/>
    <mergeCell ref="E306:F306"/>
    <mergeCell ref="G306:H306"/>
    <mergeCell ref="B300:D300"/>
    <mergeCell ref="E300:F300"/>
    <mergeCell ref="B302:H302"/>
    <mergeCell ref="B304:D304"/>
    <mergeCell ref="B317:D317"/>
    <mergeCell ref="E317:F317"/>
    <mergeCell ref="G262:H262"/>
    <mergeCell ref="B276:H276"/>
    <mergeCell ref="B274:D274"/>
    <mergeCell ref="E274:F274"/>
    <mergeCell ref="E495:F495"/>
    <mergeCell ref="G495:H495"/>
    <mergeCell ref="E326:F326"/>
    <mergeCell ref="G326:H326"/>
    <mergeCell ref="B329:D329"/>
    <mergeCell ref="E329:F329"/>
    <mergeCell ref="G329:H329"/>
    <mergeCell ref="B326:D326"/>
    <mergeCell ref="E353:F353"/>
    <mergeCell ref="G353:H353"/>
    <mergeCell ref="B354:D354"/>
    <mergeCell ref="E354:F354"/>
    <mergeCell ref="G354:H354"/>
    <mergeCell ref="B360:D360"/>
    <mergeCell ref="E360:F360"/>
    <mergeCell ref="G360:H360"/>
    <mergeCell ref="B361:D361"/>
    <mergeCell ref="E361:F361"/>
    <mergeCell ref="G361:H361"/>
    <mergeCell ref="B355:D355"/>
    <mergeCell ref="G261:H261"/>
    <mergeCell ref="B257:D257"/>
    <mergeCell ref="E257:F257"/>
    <mergeCell ref="G257:H257"/>
    <mergeCell ref="B258:D258"/>
    <mergeCell ref="E258:F258"/>
    <mergeCell ref="B260:H260"/>
    <mergeCell ref="B253:D253"/>
    <mergeCell ref="E253:F253"/>
    <mergeCell ref="G253:H253"/>
    <mergeCell ref="B254:D254"/>
    <mergeCell ref="E254:F254"/>
    <mergeCell ref="G254:H254"/>
    <mergeCell ref="B205:D205"/>
    <mergeCell ref="E205:F205"/>
    <mergeCell ref="G205:H205"/>
    <mergeCell ref="B204:D204"/>
    <mergeCell ref="E204:F204"/>
    <mergeCell ref="G204:H204"/>
    <mergeCell ref="B232:D232"/>
    <mergeCell ref="E232:F232"/>
    <mergeCell ref="B229:D229"/>
    <mergeCell ref="E229:F229"/>
    <mergeCell ref="B231:H231"/>
    <mergeCell ref="G210:H210"/>
    <mergeCell ref="B192:D192"/>
    <mergeCell ref="E192:F192"/>
    <mergeCell ref="G192:H192"/>
    <mergeCell ref="B186:D186"/>
    <mergeCell ref="E186:F186"/>
    <mergeCell ref="B188:H188"/>
    <mergeCell ref="G195:H195"/>
    <mergeCell ref="B215:D215"/>
    <mergeCell ref="E215:F215"/>
    <mergeCell ref="G215:H215"/>
    <mergeCell ref="B197:D197"/>
    <mergeCell ref="E197:F197"/>
    <mergeCell ref="B199:H199"/>
    <mergeCell ref="B196:D196"/>
    <mergeCell ref="E196:F196"/>
    <mergeCell ref="G196:H196"/>
    <mergeCell ref="B195:D195"/>
    <mergeCell ref="E195:F195"/>
    <mergeCell ref="B201:H201"/>
    <mergeCell ref="B206:D206"/>
    <mergeCell ref="B214:H214"/>
    <mergeCell ref="B212:D212"/>
    <mergeCell ref="E212:F212"/>
    <mergeCell ref="B203:H203"/>
    <mergeCell ref="E179:F179"/>
    <mergeCell ref="G179:H179"/>
    <mergeCell ref="B190:H190"/>
    <mergeCell ref="B191:D191"/>
    <mergeCell ref="E191:F191"/>
    <mergeCell ref="G191:H191"/>
    <mergeCell ref="B182:H182"/>
    <mergeCell ref="B183:D183"/>
    <mergeCell ref="E183:F183"/>
    <mergeCell ref="G183:H183"/>
    <mergeCell ref="B174:D174"/>
    <mergeCell ref="E174:F174"/>
    <mergeCell ref="B176:H176"/>
    <mergeCell ref="B177:D177"/>
    <mergeCell ref="E177:F177"/>
    <mergeCell ref="G177:H177"/>
    <mergeCell ref="B194:D194"/>
    <mergeCell ref="E194:F194"/>
    <mergeCell ref="G194:H194"/>
    <mergeCell ref="B184:D184"/>
    <mergeCell ref="E184:F184"/>
    <mergeCell ref="G184:H184"/>
    <mergeCell ref="B185:D185"/>
    <mergeCell ref="E185:F185"/>
    <mergeCell ref="G185:H185"/>
    <mergeCell ref="B180:D180"/>
    <mergeCell ref="E180:F180"/>
    <mergeCell ref="G193:H193"/>
    <mergeCell ref="B193:D193"/>
    <mergeCell ref="E193:F193"/>
    <mergeCell ref="B178:D178"/>
    <mergeCell ref="E178:F178"/>
    <mergeCell ref="G178:H178"/>
    <mergeCell ref="B179:D179"/>
    <mergeCell ref="B167:D167"/>
    <mergeCell ref="E167:F167"/>
    <mergeCell ref="G167:H167"/>
    <mergeCell ref="B172:D172"/>
    <mergeCell ref="E172:F172"/>
    <mergeCell ref="G172:H172"/>
    <mergeCell ref="B160:D160"/>
    <mergeCell ref="E160:F160"/>
    <mergeCell ref="B173:D173"/>
    <mergeCell ref="E173:F173"/>
    <mergeCell ref="G173:H173"/>
    <mergeCell ref="B168:D168"/>
    <mergeCell ref="E168:F168"/>
    <mergeCell ref="B170:H170"/>
    <mergeCell ref="B171:D171"/>
    <mergeCell ref="E171:F171"/>
    <mergeCell ref="G171:H171"/>
    <mergeCell ref="B165:D165"/>
    <mergeCell ref="E165:F165"/>
    <mergeCell ref="G165:H165"/>
    <mergeCell ref="B166:D166"/>
    <mergeCell ref="E166:F166"/>
    <mergeCell ref="G166:H166"/>
    <mergeCell ref="B164:H164"/>
    <mergeCell ref="E144:F144"/>
    <mergeCell ref="G144:H144"/>
    <mergeCell ref="B153:D153"/>
    <mergeCell ref="E153:F153"/>
    <mergeCell ref="B162:H162"/>
    <mergeCell ref="B155:H155"/>
    <mergeCell ref="B156:D156"/>
    <mergeCell ref="E156:F156"/>
    <mergeCell ref="G156:H156"/>
    <mergeCell ref="B157:D157"/>
    <mergeCell ref="E157:F157"/>
    <mergeCell ref="G157:H157"/>
    <mergeCell ref="B159:D159"/>
    <mergeCell ref="E159:F159"/>
    <mergeCell ref="G159:H159"/>
    <mergeCell ref="B152:D152"/>
    <mergeCell ref="E152:F152"/>
    <mergeCell ref="G152:H152"/>
    <mergeCell ref="B150:D150"/>
    <mergeCell ref="E150:F150"/>
    <mergeCell ref="G150:H150"/>
    <mergeCell ref="B151:D151"/>
    <mergeCell ref="E151:F151"/>
    <mergeCell ref="G151:H151"/>
    <mergeCell ref="B147:D147"/>
    <mergeCell ref="E147:F147"/>
    <mergeCell ref="B149:H149"/>
    <mergeCell ref="B96:D96"/>
    <mergeCell ref="E96:F96"/>
    <mergeCell ref="G96:H96"/>
    <mergeCell ref="B97:D97"/>
    <mergeCell ref="E97:F97"/>
    <mergeCell ref="G97:H97"/>
    <mergeCell ref="E102:F102"/>
    <mergeCell ref="G102:H102"/>
    <mergeCell ref="B140:D140"/>
    <mergeCell ref="E140:F140"/>
    <mergeCell ref="G140:H140"/>
    <mergeCell ref="B145:D145"/>
    <mergeCell ref="E145:F145"/>
    <mergeCell ref="G145:H145"/>
    <mergeCell ref="B146:D146"/>
    <mergeCell ref="E146:F146"/>
    <mergeCell ref="G146:H146"/>
    <mergeCell ref="B141:D141"/>
    <mergeCell ref="E141:F141"/>
    <mergeCell ref="B143:H143"/>
    <mergeCell ref="B144:D144"/>
    <mergeCell ref="B138:D138"/>
    <mergeCell ref="E138:F138"/>
    <mergeCell ref="G138:H138"/>
    <mergeCell ref="B139:D139"/>
    <mergeCell ref="E139:F139"/>
    <mergeCell ref="G139:H139"/>
    <mergeCell ref="B98:D98"/>
    <mergeCell ref="E98:F98"/>
    <mergeCell ref="B132:H132"/>
    <mergeCell ref="B134:H134"/>
    <mergeCell ref="B136:H136"/>
    <mergeCell ref="B137:D137"/>
    <mergeCell ref="E137:F137"/>
    <mergeCell ref="G137:H137"/>
    <mergeCell ref="B103:D103"/>
    <mergeCell ref="E103:F103"/>
    <mergeCell ref="G103:H103"/>
    <mergeCell ref="B104:D104"/>
    <mergeCell ref="E104:F104"/>
    <mergeCell ref="B102:D102"/>
    <mergeCell ref="B115:D115"/>
    <mergeCell ref="E115:F115"/>
    <mergeCell ref="G115:H115"/>
    <mergeCell ref="B116:D116"/>
    <mergeCell ref="B86:D86"/>
    <mergeCell ref="E86:F86"/>
    <mergeCell ref="B88:H88"/>
    <mergeCell ref="B89:D89"/>
    <mergeCell ref="E89:F89"/>
    <mergeCell ref="G89:H89"/>
    <mergeCell ref="B94:H94"/>
    <mergeCell ref="B95:D95"/>
    <mergeCell ref="E95:F95"/>
    <mergeCell ref="G95:H95"/>
    <mergeCell ref="B92:D92"/>
    <mergeCell ref="B67:D67"/>
    <mergeCell ref="E67:F67"/>
    <mergeCell ref="G67:H67"/>
    <mergeCell ref="B64:H64"/>
    <mergeCell ref="B78:D78"/>
    <mergeCell ref="E78:F78"/>
    <mergeCell ref="G78:H78"/>
    <mergeCell ref="B68:D68"/>
    <mergeCell ref="E68:F68"/>
    <mergeCell ref="B76:H76"/>
    <mergeCell ref="B77:D77"/>
    <mergeCell ref="E77:F77"/>
    <mergeCell ref="G73:H73"/>
    <mergeCell ref="B74:D74"/>
    <mergeCell ref="E74:F74"/>
    <mergeCell ref="B60:D60"/>
    <mergeCell ref="E60:F60"/>
    <mergeCell ref="B65:D65"/>
    <mergeCell ref="E65:F65"/>
    <mergeCell ref="G65:H65"/>
    <mergeCell ref="B66:D66"/>
    <mergeCell ref="E66:F66"/>
    <mergeCell ref="G66:H66"/>
    <mergeCell ref="B62:H62"/>
    <mergeCell ref="E59:F59"/>
    <mergeCell ref="G59:H59"/>
    <mergeCell ref="B55:H55"/>
    <mergeCell ref="B57:D57"/>
    <mergeCell ref="E57:F57"/>
    <mergeCell ref="G57:H57"/>
    <mergeCell ref="B44:D44"/>
    <mergeCell ref="E44:F44"/>
    <mergeCell ref="G44:H44"/>
    <mergeCell ref="B51:D51"/>
    <mergeCell ref="E51:F51"/>
    <mergeCell ref="B53:H53"/>
    <mergeCell ref="B58:D58"/>
    <mergeCell ref="E58:F58"/>
    <mergeCell ref="G58:H58"/>
    <mergeCell ref="B45:D45"/>
    <mergeCell ref="E45:F45"/>
    <mergeCell ref="G45:H45"/>
    <mergeCell ref="B50:D50"/>
    <mergeCell ref="E50:F50"/>
    <mergeCell ref="G50:H50"/>
    <mergeCell ref="B46:D46"/>
    <mergeCell ref="E46:F46"/>
    <mergeCell ref="B48:H48"/>
    <mergeCell ref="B49:D49"/>
    <mergeCell ref="E49:F49"/>
    <mergeCell ref="G49:H49"/>
    <mergeCell ref="B42:D42"/>
    <mergeCell ref="E42:F42"/>
    <mergeCell ref="G42:H42"/>
    <mergeCell ref="B43:D43"/>
    <mergeCell ref="E43:F43"/>
    <mergeCell ref="G43:H43"/>
    <mergeCell ref="B26:H26"/>
    <mergeCell ref="B32:D32"/>
    <mergeCell ref="E32:F32"/>
    <mergeCell ref="G32:H32"/>
    <mergeCell ref="B33:D33"/>
    <mergeCell ref="E33:F33"/>
    <mergeCell ref="G33:H33"/>
    <mergeCell ref="B30:D30"/>
    <mergeCell ref="E30:F30"/>
    <mergeCell ref="G30:H30"/>
    <mergeCell ref="B31:D31"/>
    <mergeCell ref="E31:F31"/>
    <mergeCell ref="G31:H31"/>
    <mergeCell ref="B39:D39"/>
    <mergeCell ref="E39:F39"/>
    <mergeCell ref="B41:H41"/>
    <mergeCell ref="B35:D35"/>
    <mergeCell ref="E35:F35"/>
    <mergeCell ref="A8:B8"/>
    <mergeCell ref="C8:H8"/>
    <mergeCell ref="A2:H5"/>
    <mergeCell ref="A7:B7"/>
    <mergeCell ref="C7:H7"/>
    <mergeCell ref="A9:B9"/>
    <mergeCell ref="C9:H9"/>
    <mergeCell ref="B13:H13"/>
    <mergeCell ref="B15:H15"/>
    <mergeCell ref="B11:H11"/>
    <mergeCell ref="E16:F16"/>
    <mergeCell ref="G16:H16"/>
    <mergeCell ref="B16:D16"/>
    <mergeCell ref="B17:D17"/>
    <mergeCell ref="E17:F17"/>
    <mergeCell ref="G17:H17"/>
    <mergeCell ref="E18:F18"/>
    <mergeCell ref="B18:D18"/>
    <mergeCell ref="B24:H24"/>
    <mergeCell ref="B20:H20"/>
    <mergeCell ref="B22:D22"/>
    <mergeCell ref="E22:F22"/>
    <mergeCell ref="B21:D21"/>
    <mergeCell ref="E21:F21"/>
    <mergeCell ref="G21:H21"/>
    <mergeCell ref="B28:H28"/>
    <mergeCell ref="G211:H211"/>
    <mergeCell ref="B221:H221"/>
    <mergeCell ref="B207:D207"/>
    <mergeCell ref="B208:D208"/>
    <mergeCell ref="B209:D209"/>
    <mergeCell ref="B79:D79"/>
    <mergeCell ref="E79:F79"/>
    <mergeCell ref="B70:H70"/>
    <mergeCell ref="B71:D71"/>
    <mergeCell ref="E71:F71"/>
    <mergeCell ref="G71:H71"/>
    <mergeCell ref="B72:D72"/>
    <mergeCell ref="E72:F72"/>
    <mergeCell ref="G72:H72"/>
    <mergeCell ref="B100:H100"/>
    <mergeCell ref="B101:D101"/>
    <mergeCell ref="E101:F101"/>
    <mergeCell ref="B271:D271"/>
    <mergeCell ref="E271:F271"/>
    <mergeCell ref="G271:H271"/>
    <mergeCell ref="B272:D272"/>
    <mergeCell ref="E272:F272"/>
    <mergeCell ref="G272:H272"/>
    <mergeCell ref="B228:H228"/>
    <mergeCell ref="B236:H236"/>
    <mergeCell ref="B241:H241"/>
    <mergeCell ref="B255:D255"/>
    <mergeCell ref="E255:F255"/>
    <mergeCell ref="G255:H255"/>
    <mergeCell ref="B247:D247"/>
    <mergeCell ref="E247:F247"/>
    <mergeCell ref="B242:D242"/>
    <mergeCell ref="B246:H246"/>
    <mergeCell ref="B234:H234"/>
    <mergeCell ref="B244:H244"/>
    <mergeCell ref="B239:H239"/>
    <mergeCell ref="B237:D237"/>
    <mergeCell ref="E237:F237"/>
    <mergeCell ref="B263:D263"/>
    <mergeCell ref="E263:F263"/>
    <mergeCell ref="G263:H263"/>
    <mergeCell ref="B265:D265"/>
    <mergeCell ref="E265:F265"/>
    <mergeCell ref="G265:H265"/>
    <mergeCell ref="B210:D210"/>
    <mergeCell ref="B211:D211"/>
    <mergeCell ref="B217:D217"/>
    <mergeCell ref="E217:F217"/>
    <mergeCell ref="B226:H226"/>
    <mergeCell ref="B219:H219"/>
    <mergeCell ref="B223:H223"/>
    <mergeCell ref="B224:D224"/>
    <mergeCell ref="E224:F224"/>
    <mergeCell ref="B216:D216"/>
    <mergeCell ref="E216:F216"/>
    <mergeCell ref="G216:H216"/>
    <mergeCell ref="B251:H251"/>
    <mergeCell ref="B252:D252"/>
    <mergeCell ref="E252:F252"/>
    <mergeCell ref="G252:H252"/>
    <mergeCell ref="B256:D256"/>
    <mergeCell ref="E256:F256"/>
    <mergeCell ref="G256:H256"/>
    <mergeCell ref="E242:F242"/>
    <mergeCell ref="B249:H249"/>
    <mergeCell ref="B266:D266"/>
    <mergeCell ref="E266:F266"/>
    <mergeCell ref="G266:H266"/>
    <mergeCell ref="B262:D262"/>
    <mergeCell ref="E262:F262"/>
    <mergeCell ref="B284:D284"/>
    <mergeCell ref="E284:F284"/>
    <mergeCell ref="G284:H284"/>
    <mergeCell ref="B281:H281"/>
    <mergeCell ref="B283:H283"/>
    <mergeCell ref="B279:D279"/>
    <mergeCell ref="E279:F279"/>
    <mergeCell ref="B277:H277"/>
    <mergeCell ref="B278:D278"/>
    <mergeCell ref="B267:D267"/>
    <mergeCell ref="E267:F267"/>
    <mergeCell ref="B264:D264"/>
    <mergeCell ref="E264:F264"/>
    <mergeCell ref="G264:H264"/>
    <mergeCell ref="B273:D273"/>
    <mergeCell ref="E273:F273"/>
    <mergeCell ref="G273:H273"/>
    <mergeCell ref="B269:H269"/>
    <mergeCell ref="B270:H270"/>
    <mergeCell ref="E278:F278"/>
    <mergeCell ref="G278:H278"/>
    <mergeCell ref="B288:D288"/>
    <mergeCell ref="E288:F288"/>
    <mergeCell ref="B285:D285"/>
    <mergeCell ref="E285:F285"/>
    <mergeCell ref="G285:H285"/>
    <mergeCell ref="B286:D286"/>
    <mergeCell ref="E286:F286"/>
    <mergeCell ref="G286:H286"/>
    <mergeCell ref="B287:D287"/>
    <mergeCell ref="E287:F287"/>
    <mergeCell ref="G287:H287"/>
    <mergeCell ref="G317:H317"/>
    <mergeCell ref="B309:H309"/>
    <mergeCell ref="B310:D310"/>
    <mergeCell ref="E314:F314"/>
    <mergeCell ref="B311:D311"/>
    <mergeCell ref="G328:H328"/>
    <mergeCell ref="B318:D318"/>
    <mergeCell ref="E318:F318"/>
    <mergeCell ref="G318:H318"/>
    <mergeCell ref="B319:D319"/>
    <mergeCell ref="E319:F319"/>
    <mergeCell ref="G319:H319"/>
    <mergeCell ref="B320:D320"/>
    <mergeCell ref="E320:F320"/>
    <mergeCell ref="G320:H320"/>
    <mergeCell ref="G321:H321"/>
    <mergeCell ref="G322:H322"/>
    <mergeCell ref="G323:H323"/>
    <mergeCell ref="G324:H324"/>
    <mergeCell ref="G325:H325"/>
    <mergeCell ref="B327:D327"/>
    <mergeCell ref="B321:D321"/>
    <mergeCell ref="E325:F325"/>
    <mergeCell ref="E324:F324"/>
    <mergeCell ref="E323:F323"/>
    <mergeCell ref="E322:F322"/>
    <mergeCell ref="E321:F321"/>
    <mergeCell ref="B332:H332"/>
    <mergeCell ref="B334:H334"/>
    <mergeCell ref="B335:D335"/>
    <mergeCell ref="E335:F335"/>
    <mergeCell ref="G335:H335"/>
    <mergeCell ref="E327:F327"/>
    <mergeCell ref="G327:H327"/>
    <mergeCell ref="B328:D328"/>
    <mergeCell ref="E328:F328"/>
    <mergeCell ref="B330:D330"/>
    <mergeCell ref="E330:F330"/>
    <mergeCell ref="B322:D322"/>
    <mergeCell ref="B324:D324"/>
    <mergeCell ref="B325:D325"/>
    <mergeCell ref="B323:D323"/>
    <mergeCell ref="B344:D344"/>
    <mergeCell ref="E344:F344"/>
    <mergeCell ref="G344:H344"/>
    <mergeCell ref="B336:D336"/>
    <mergeCell ref="E336:F336"/>
    <mergeCell ref="G336:H336"/>
    <mergeCell ref="B337:D337"/>
    <mergeCell ref="E337:F337"/>
    <mergeCell ref="G337:H337"/>
    <mergeCell ref="B338:D338"/>
    <mergeCell ref="E338:F338"/>
    <mergeCell ref="G338:H338"/>
    <mergeCell ref="B339:D339"/>
    <mergeCell ref="E339:F339"/>
    <mergeCell ref="G339:H339"/>
    <mergeCell ref="B340:D340"/>
    <mergeCell ref="E340:F340"/>
    <mergeCell ref="G340:H340"/>
    <mergeCell ref="B341:D341"/>
    <mergeCell ref="G356:H356"/>
    <mergeCell ref="B353:D353"/>
    <mergeCell ref="G355:H355"/>
    <mergeCell ref="B356:D356"/>
    <mergeCell ref="E356:F356"/>
    <mergeCell ref="E367:F367"/>
    <mergeCell ref="G367:H367"/>
    <mergeCell ref="E341:F341"/>
    <mergeCell ref="G341:H341"/>
    <mergeCell ref="B342:D342"/>
    <mergeCell ref="E342:F342"/>
    <mergeCell ref="G342:H342"/>
    <mergeCell ref="B343:D343"/>
    <mergeCell ref="E343:F343"/>
    <mergeCell ref="G343:H343"/>
    <mergeCell ref="B349:D349"/>
    <mergeCell ref="E349:F349"/>
    <mergeCell ref="G349:H349"/>
    <mergeCell ref="B345:D345"/>
    <mergeCell ref="E345:F345"/>
    <mergeCell ref="B347:H347"/>
    <mergeCell ref="B348:D348"/>
    <mergeCell ref="E348:F348"/>
    <mergeCell ref="G348:H348"/>
    <mergeCell ref="B350:D350"/>
    <mergeCell ref="E350:F350"/>
    <mergeCell ref="G350:H350"/>
    <mergeCell ref="B351:D351"/>
    <mergeCell ref="E351:F351"/>
    <mergeCell ref="G351:H351"/>
    <mergeCell ref="B352:D352"/>
    <mergeCell ref="E352:F352"/>
    <mergeCell ref="G352:H352"/>
    <mergeCell ref="B357:D357"/>
    <mergeCell ref="E357:F357"/>
    <mergeCell ref="B359:H359"/>
    <mergeCell ref="B364:D364"/>
    <mergeCell ref="E364:F364"/>
    <mergeCell ref="G364:H364"/>
    <mergeCell ref="B369:D369"/>
    <mergeCell ref="E369:F369"/>
    <mergeCell ref="B368:D368"/>
    <mergeCell ref="E368:F368"/>
    <mergeCell ref="G368:H368"/>
    <mergeCell ref="B362:D362"/>
    <mergeCell ref="E362:F362"/>
    <mergeCell ref="G362:H362"/>
    <mergeCell ref="B363:D363"/>
    <mergeCell ref="E363:F363"/>
    <mergeCell ref="G363:H363"/>
    <mergeCell ref="B365:D365"/>
    <mergeCell ref="E365:F365"/>
    <mergeCell ref="G365:H365"/>
    <mergeCell ref="B366:D366"/>
    <mergeCell ref="E366:F366"/>
    <mergeCell ref="G366:H366"/>
    <mergeCell ref="B367:D367"/>
    <mergeCell ref="G374:H374"/>
    <mergeCell ref="B376:D376"/>
    <mergeCell ref="E376:F376"/>
    <mergeCell ref="B390:D390"/>
    <mergeCell ref="E390:F390"/>
    <mergeCell ref="G390:H390"/>
    <mergeCell ref="G381:H381"/>
    <mergeCell ref="B382:D382"/>
    <mergeCell ref="E382:F382"/>
    <mergeCell ref="G382:H382"/>
    <mergeCell ref="B387:D387"/>
    <mergeCell ref="E387:F387"/>
    <mergeCell ref="B375:D375"/>
    <mergeCell ref="E375:F375"/>
    <mergeCell ref="G375:H375"/>
    <mergeCell ref="B389:H389"/>
    <mergeCell ref="B385:D385"/>
    <mergeCell ref="B386:D386"/>
    <mergeCell ref="E385:F385"/>
    <mergeCell ref="E386:F386"/>
    <mergeCell ref="G385:H385"/>
    <mergeCell ref="G386:H386"/>
    <mergeCell ref="B411:H411"/>
    <mergeCell ref="B412:D412"/>
    <mergeCell ref="E412:F412"/>
    <mergeCell ref="B416:H416"/>
    <mergeCell ref="B393:D393"/>
    <mergeCell ref="E393:F393"/>
    <mergeCell ref="B395:H395"/>
    <mergeCell ref="B399:H399"/>
    <mergeCell ref="B397:H397"/>
    <mergeCell ref="B400:D400"/>
    <mergeCell ref="E400:F400"/>
    <mergeCell ref="B402:H402"/>
    <mergeCell ref="B409:D409"/>
    <mergeCell ref="E409:F409"/>
    <mergeCell ref="B403:D403"/>
    <mergeCell ref="E403:F403"/>
    <mergeCell ref="B405:H405"/>
    <mergeCell ref="B406:D406"/>
    <mergeCell ref="E406:F406"/>
    <mergeCell ref="B408:H408"/>
    <mergeCell ref="B417:D417"/>
    <mergeCell ref="E417:F417"/>
    <mergeCell ref="G417:H417"/>
    <mergeCell ref="B414:H414"/>
    <mergeCell ref="B424:H424"/>
    <mergeCell ref="E425:F425"/>
    <mergeCell ref="G425:H425"/>
    <mergeCell ref="B418:D418"/>
    <mergeCell ref="E418:F418"/>
    <mergeCell ref="B420:H420"/>
    <mergeCell ref="B421:D421"/>
    <mergeCell ref="E421:F421"/>
    <mergeCell ref="G421:H421"/>
    <mergeCell ref="B422:D422"/>
    <mergeCell ref="E422:F422"/>
    <mergeCell ref="B426:D426"/>
    <mergeCell ref="E426:F426"/>
    <mergeCell ref="B425:D425"/>
    <mergeCell ref="E432:F432"/>
    <mergeCell ref="B434:H434"/>
    <mergeCell ref="B435:D435"/>
    <mergeCell ref="E435:F435"/>
    <mergeCell ref="B431:H431"/>
    <mergeCell ref="B432:D432"/>
    <mergeCell ref="B428:H428"/>
    <mergeCell ref="B429:D429"/>
    <mergeCell ref="E429:F429"/>
    <mergeCell ref="B452:D452"/>
    <mergeCell ref="E452:F452"/>
    <mergeCell ref="B454:H454"/>
    <mergeCell ref="B456:H456"/>
    <mergeCell ref="B437:H437"/>
    <mergeCell ref="B438:D438"/>
    <mergeCell ref="E438:F438"/>
    <mergeCell ref="B451:H451"/>
    <mergeCell ref="E444:F444"/>
    <mergeCell ref="B446:H446"/>
    <mergeCell ref="B440:H440"/>
    <mergeCell ref="B441:D441"/>
    <mergeCell ref="E441:F441"/>
    <mergeCell ref="B443:H443"/>
    <mergeCell ref="B444:D444"/>
    <mergeCell ref="B471:H471"/>
    <mergeCell ref="B469:D469"/>
    <mergeCell ref="E469:F469"/>
    <mergeCell ref="B472:D472"/>
    <mergeCell ref="E472:F472"/>
    <mergeCell ref="B477:H477"/>
    <mergeCell ref="B478:D478"/>
    <mergeCell ref="E478:F478"/>
    <mergeCell ref="B480:H480"/>
    <mergeCell ref="B474:H474"/>
    <mergeCell ref="B460:D460"/>
    <mergeCell ref="E460:F460"/>
    <mergeCell ref="B462:H462"/>
    <mergeCell ref="B463:D463"/>
    <mergeCell ref="E463:F463"/>
    <mergeCell ref="B465:H465"/>
    <mergeCell ref="B466:D466"/>
    <mergeCell ref="E466:F466"/>
    <mergeCell ref="B468:H468"/>
    <mergeCell ref="B511:D511"/>
    <mergeCell ref="E511:F511"/>
    <mergeCell ref="G511:H511"/>
    <mergeCell ref="B508:D508"/>
    <mergeCell ref="E508:F508"/>
    <mergeCell ref="B510:H510"/>
    <mergeCell ref="B507:D507"/>
    <mergeCell ref="B489:D489"/>
    <mergeCell ref="E489:F489"/>
    <mergeCell ref="B491:H491"/>
    <mergeCell ref="B492:D492"/>
    <mergeCell ref="E492:F492"/>
    <mergeCell ref="B494:H494"/>
    <mergeCell ref="B496:D496"/>
    <mergeCell ref="E496:F496"/>
    <mergeCell ref="B498:H498"/>
    <mergeCell ref="E497:F497"/>
    <mergeCell ref="E507:F507"/>
    <mergeCell ref="G507:H507"/>
    <mergeCell ref="B503:H503"/>
    <mergeCell ref="B522:D522"/>
    <mergeCell ref="E522:F522"/>
    <mergeCell ref="B520:H520"/>
    <mergeCell ref="B512:D512"/>
    <mergeCell ref="E512:F512"/>
    <mergeCell ref="B514:H514"/>
    <mergeCell ref="B521:D521"/>
    <mergeCell ref="E521:F521"/>
    <mergeCell ref="G521:H521"/>
    <mergeCell ref="B515:D515"/>
    <mergeCell ref="E515:F515"/>
    <mergeCell ref="G515:H515"/>
    <mergeCell ref="B516:D516"/>
    <mergeCell ref="E516:F516"/>
    <mergeCell ref="B518:H518"/>
    <mergeCell ref="B297:D297"/>
    <mergeCell ref="E297:F297"/>
    <mergeCell ref="G297:H297"/>
    <mergeCell ref="B307:D307"/>
    <mergeCell ref="E307:F307"/>
    <mergeCell ref="G310:H310"/>
    <mergeCell ref="B312:D312"/>
    <mergeCell ref="E312:F312"/>
    <mergeCell ref="G312:H312"/>
    <mergeCell ref="E304:F304"/>
    <mergeCell ref="G304:H304"/>
    <mergeCell ref="B303:D303"/>
    <mergeCell ref="B313:D313"/>
    <mergeCell ref="E313:F313"/>
    <mergeCell ref="G313:H313"/>
    <mergeCell ref="B314:D314"/>
    <mergeCell ref="G311:H311"/>
    <mergeCell ref="B305:D305"/>
    <mergeCell ref="E305:F305"/>
    <mergeCell ref="E303:F303"/>
    <mergeCell ref="G303:H303"/>
    <mergeCell ref="G305:H305"/>
    <mergeCell ref="B306:D306"/>
    <mergeCell ref="E311:F311"/>
    <mergeCell ref="B373:H373"/>
    <mergeCell ref="B374:D374"/>
    <mergeCell ref="E374:F374"/>
    <mergeCell ref="B505:H505"/>
    <mergeCell ref="B506:D506"/>
    <mergeCell ref="E506:F506"/>
    <mergeCell ref="G506:H506"/>
    <mergeCell ref="B499:D499"/>
    <mergeCell ref="E499:F499"/>
    <mergeCell ref="B501:H501"/>
    <mergeCell ref="B495:D495"/>
    <mergeCell ref="B481:D481"/>
    <mergeCell ref="E481:F481"/>
    <mergeCell ref="B483:H483"/>
    <mergeCell ref="E449:F449"/>
    <mergeCell ref="B449:D449"/>
    <mergeCell ref="B448:H448"/>
    <mergeCell ref="B475:D475"/>
    <mergeCell ref="E475:F475"/>
    <mergeCell ref="B485:H485"/>
    <mergeCell ref="B486:D486"/>
    <mergeCell ref="B457:D457"/>
    <mergeCell ref="E457:F457"/>
    <mergeCell ref="B459:H459"/>
    <mergeCell ref="E486:F486"/>
    <mergeCell ref="B488:H488"/>
    <mergeCell ref="B391:D391"/>
    <mergeCell ref="E391:F391"/>
    <mergeCell ref="G391:H391"/>
    <mergeCell ref="E206:F206"/>
    <mergeCell ref="E207:F207"/>
    <mergeCell ref="E208:F208"/>
    <mergeCell ref="E209:F209"/>
    <mergeCell ref="E210:F210"/>
    <mergeCell ref="E211:F211"/>
    <mergeCell ref="G207:H207"/>
    <mergeCell ref="G206:H206"/>
    <mergeCell ref="G208:H208"/>
    <mergeCell ref="B378:H378"/>
    <mergeCell ref="B380:H380"/>
    <mergeCell ref="B381:D381"/>
    <mergeCell ref="E381:F381"/>
    <mergeCell ref="B371:H371"/>
    <mergeCell ref="B261:D261"/>
    <mergeCell ref="E261:F261"/>
    <mergeCell ref="B316:H316"/>
    <mergeCell ref="E310:F310"/>
    <mergeCell ref="G209:H209"/>
    <mergeCell ref="B158:D158"/>
    <mergeCell ref="E158:F158"/>
    <mergeCell ref="G158:H158"/>
    <mergeCell ref="B73:D73"/>
    <mergeCell ref="E73:F73"/>
    <mergeCell ref="G101:H101"/>
    <mergeCell ref="G79:H79"/>
    <mergeCell ref="B84:D84"/>
    <mergeCell ref="E84:F84"/>
    <mergeCell ref="G84:H84"/>
    <mergeCell ref="B85:D85"/>
    <mergeCell ref="E80:F80"/>
    <mergeCell ref="B82:H82"/>
    <mergeCell ref="G77:H77"/>
    <mergeCell ref="B80:D80"/>
    <mergeCell ref="E92:F92"/>
    <mergeCell ref="E85:F85"/>
    <mergeCell ref="B83:D83"/>
    <mergeCell ref="B90:D90"/>
    <mergeCell ref="E90:F90"/>
    <mergeCell ref="G90:H90"/>
    <mergeCell ref="B91:D91"/>
    <mergeCell ref="E91:F91"/>
    <mergeCell ref="G91:H91"/>
    <mergeCell ref="E296:F296"/>
    <mergeCell ref="G296:H296"/>
    <mergeCell ref="B293:D293"/>
    <mergeCell ref="E293:F293"/>
    <mergeCell ref="B296:D296"/>
    <mergeCell ref="B290:H290"/>
    <mergeCell ref="B291:D291"/>
    <mergeCell ref="E291:F291"/>
    <mergeCell ref="G291:H291"/>
    <mergeCell ref="B292:D292"/>
    <mergeCell ref="E292:F292"/>
    <mergeCell ref="G292:H292"/>
    <mergeCell ref="B295:H295"/>
  </mergeCells>
  <printOptions horizontalCentered="1"/>
  <pageMargins left="0.59055118110236227" right="0.59055118110236227" top="0.98425196850393704" bottom="0.31496062992125984" header="0.19685039370078741" footer="0.19685039370078741"/>
  <pageSetup paperSize="9" scale="70" fitToHeight="15" orientation="portrait" r:id="rId1"/>
  <headerFooter alignWithMargins="0">
    <oddHeader>&amp;L       &amp;G&amp;C&amp;"Arial,Negrito"&amp;16Prefeitura Municipal de Birigui&amp;"Arial,Normal"&amp;11
&amp;13CNPJ: 45.151.718/0001-80
&amp;8
&amp;14Secretaria de Obras
&amp;12(18) 3643-6170</oddHeader>
    <oddFooter>&amp;CPágina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pageSetUpPr fitToPage="1"/>
  </sheetPr>
  <dimension ref="A1:J187"/>
  <sheetViews>
    <sheetView tabSelected="1" topLeftCell="A175" workbookViewId="0">
      <selection activeCell="A178" sqref="A178:D178"/>
    </sheetView>
  </sheetViews>
  <sheetFormatPr defaultRowHeight="14.25"/>
  <cols>
    <col min="3" max="3" width="47.375" customWidth="1"/>
    <col min="5" max="5" width="11.5" customWidth="1"/>
    <col min="6" max="6" width="9.25" bestFit="1" customWidth="1"/>
    <col min="7" max="7" width="10.5" customWidth="1"/>
  </cols>
  <sheetData>
    <row r="1" spans="1:10">
      <c r="A1" s="295" t="s">
        <v>400</v>
      </c>
      <c r="B1" s="296"/>
      <c r="C1" s="296"/>
      <c r="D1" s="296"/>
      <c r="E1" s="296"/>
      <c r="F1" s="296"/>
      <c r="G1" s="352"/>
    </row>
    <row r="2" spans="1:10">
      <c r="A2" s="298"/>
      <c r="B2" s="299"/>
      <c r="C2" s="299"/>
      <c r="D2" s="299"/>
      <c r="E2" s="299"/>
      <c r="F2" s="299"/>
      <c r="G2" s="353"/>
    </row>
    <row r="3" spans="1:10">
      <c r="A3" s="298"/>
      <c r="B3" s="299"/>
      <c r="C3" s="299"/>
      <c r="D3" s="299"/>
      <c r="E3" s="299"/>
      <c r="F3" s="299"/>
      <c r="G3" s="353"/>
    </row>
    <row r="4" spans="1:10">
      <c r="A4" s="301"/>
      <c r="B4" s="302"/>
      <c r="C4" s="302"/>
      <c r="D4" s="302"/>
      <c r="E4" s="302"/>
      <c r="F4" s="302"/>
      <c r="G4" s="354"/>
    </row>
    <row r="5" spans="1:10">
      <c r="A5" s="7"/>
      <c r="B5" s="7"/>
      <c r="C5" s="7"/>
      <c r="D5" s="3"/>
      <c r="E5" s="4"/>
      <c r="F5" s="14"/>
      <c r="G5" s="5"/>
    </row>
    <row r="6" spans="1:10">
      <c r="A6" s="304" t="s">
        <v>72</v>
      </c>
      <c r="B6" s="305"/>
      <c r="C6" s="311" t="s">
        <v>73</v>
      </c>
      <c r="D6" s="311"/>
      <c r="E6" s="311"/>
      <c r="F6" s="311"/>
      <c r="G6" s="99"/>
    </row>
    <row r="7" spans="1:10">
      <c r="A7" s="306" t="s">
        <v>74</v>
      </c>
      <c r="B7" s="307"/>
      <c r="C7" s="312" t="s">
        <v>381</v>
      </c>
      <c r="D7" s="312"/>
      <c r="E7" s="312"/>
      <c r="F7" s="312"/>
      <c r="G7" s="100"/>
    </row>
    <row r="8" spans="1:10">
      <c r="A8" s="308" t="s">
        <v>75</v>
      </c>
      <c r="B8" s="309"/>
      <c r="C8" s="310"/>
      <c r="D8" s="310"/>
      <c r="E8" s="310"/>
      <c r="F8" s="310"/>
      <c r="G8" s="101"/>
    </row>
    <row r="10" spans="1:10">
      <c r="A10" s="347" t="s">
        <v>22</v>
      </c>
      <c r="B10" s="347"/>
      <c r="C10" s="102" t="s">
        <v>382</v>
      </c>
      <c r="D10" s="102" t="s">
        <v>383</v>
      </c>
      <c r="E10" s="347" t="s">
        <v>23</v>
      </c>
      <c r="F10" s="347"/>
      <c r="G10" s="102" t="s">
        <v>384</v>
      </c>
    </row>
    <row r="11" spans="1:10" ht="25.5">
      <c r="A11" s="348">
        <v>1</v>
      </c>
      <c r="B11" s="349"/>
      <c r="C11" s="103" t="s">
        <v>574</v>
      </c>
      <c r="D11" s="112" t="s">
        <v>282</v>
      </c>
      <c r="E11" s="350" t="s">
        <v>31</v>
      </c>
      <c r="F11" s="351"/>
      <c r="G11" s="107">
        <f>SUM(G13:G15)</f>
        <v>251.99999999999997</v>
      </c>
      <c r="H11" s="106"/>
      <c r="I11" s="106"/>
      <c r="J11" s="106"/>
    </row>
    <row r="12" spans="1:10" ht="25.5">
      <c r="A12" s="104" t="s">
        <v>23</v>
      </c>
      <c r="B12" s="104" t="s">
        <v>22</v>
      </c>
      <c r="C12" s="104" t="s">
        <v>385</v>
      </c>
      <c r="D12" s="104" t="s">
        <v>383</v>
      </c>
      <c r="E12" s="104" t="s">
        <v>386</v>
      </c>
      <c r="F12" s="104" t="s">
        <v>387</v>
      </c>
      <c r="G12" s="104" t="s">
        <v>388</v>
      </c>
    </row>
    <row r="13" spans="1:10" s="110" customFormat="1" ht="25.5">
      <c r="A13" s="115" t="s">
        <v>392</v>
      </c>
      <c r="B13" s="115">
        <v>993</v>
      </c>
      <c r="C13" s="103" t="s">
        <v>574</v>
      </c>
      <c r="D13" s="112" t="s">
        <v>282</v>
      </c>
      <c r="E13" s="119">
        <v>1</v>
      </c>
      <c r="F13" s="121">
        <v>236.35</v>
      </c>
      <c r="G13" s="121">
        <f>ROUND(F13*E13,2)</f>
        <v>236.35</v>
      </c>
    </row>
    <row r="14" spans="1:10" s="110" customFormat="1" ht="25.5">
      <c r="A14" s="115" t="s">
        <v>31</v>
      </c>
      <c r="B14" s="115">
        <v>88247</v>
      </c>
      <c r="C14" s="118" t="s">
        <v>393</v>
      </c>
      <c r="D14" s="115" t="s">
        <v>394</v>
      </c>
      <c r="E14" s="119">
        <v>0.4</v>
      </c>
      <c r="F14" s="121">
        <v>17.46</v>
      </c>
      <c r="G14" s="121">
        <f t="shared" ref="G14:G15" si="0">ROUND(F14*E14,2)</f>
        <v>6.98</v>
      </c>
    </row>
    <row r="15" spans="1:10">
      <c r="A15" s="116" t="s">
        <v>31</v>
      </c>
      <c r="B15" s="117">
        <v>88264</v>
      </c>
      <c r="C15" s="118" t="s">
        <v>395</v>
      </c>
      <c r="D15" s="17" t="s">
        <v>394</v>
      </c>
      <c r="E15" s="119">
        <v>0.4</v>
      </c>
      <c r="F15" s="120">
        <v>21.67</v>
      </c>
      <c r="G15" s="121">
        <f t="shared" si="0"/>
        <v>8.67</v>
      </c>
    </row>
    <row r="16" spans="1:10">
      <c r="A16" s="361"/>
      <c r="B16" s="362"/>
      <c r="C16" s="362"/>
      <c r="D16" s="362"/>
      <c r="E16" s="362"/>
      <c r="F16" s="362"/>
      <c r="G16" s="363"/>
    </row>
    <row r="17" spans="1:7">
      <c r="A17" s="364"/>
      <c r="B17" s="365"/>
      <c r="C17" s="365"/>
      <c r="D17" s="365"/>
      <c r="E17" s="365"/>
      <c r="F17" s="365"/>
      <c r="G17" s="366"/>
    </row>
    <row r="18" spans="1:7">
      <c r="A18" s="347" t="s">
        <v>22</v>
      </c>
      <c r="B18" s="347"/>
      <c r="C18" s="102" t="s">
        <v>382</v>
      </c>
      <c r="D18" s="102" t="s">
        <v>383</v>
      </c>
      <c r="E18" s="347" t="s">
        <v>23</v>
      </c>
      <c r="F18" s="347"/>
      <c r="G18" s="102" t="s">
        <v>384</v>
      </c>
    </row>
    <row r="19" spans="1:7" ht="25.5">
      <c r="A19" s="348">
        <v>2</v>
      </c>
      <c r="B19" s="349"/>
      <c r="C19" s="103" t="s">
        <v>573</v>
      </c>
      <c r="D19" s="112" t="s">
        <v>282</v>
      </c>
      <c r="E19" s="350" t="s">
        <v>397</v>
      </c>
      <c r="F19" s="351"/>
      <c r="G19" s="107">
        <f>SUM(G21:G23)</f>
        <v>313.93</v>
      </c>
    </row>
    <row r="20" spans="1:7" ht="25.5">
      <c r="A20" s="104" t="s">
        <v>23</v>
      </c>
      <c r="B20" s="104" t="s">
        <v>22</v>
      </c>
      <c r="C20" s="104" t="s">
        <v>385</v>
      </c>
      <c r="D20" s="104" t="s">
        <v>383</v>
      </c>
      <c r="E20" s="104" t="s">
        <v>386</v>
      </c>
      <c r="F20" s="104" t="s">
        <v>387</v>
      </c>
      <c r="G20" s="104" t="s">
        <v>388</v>
      </c>
    </row>
    <row r="21" spans="1:7" ht="25.5">
      <c r="A21" s="115" t="s">
        <v>397</v>
      </c>
      <c r="B21" s="115" t="s">
        <v>398</v>
      </c>
      <c r="C21" s="103" t="s">
        <v>575</v>
      </c>
      <c r="D21" s="112" t="s">
        <v>282</v>
      </c>
      <c r="E21" s="119">
        <v>1</v>
      </c>
      <c r="F21" s="121">
        <v>298.27999999999997</v>
      </c>
      <c r="G21" s="121">
        <f>F21*E21</f>
        <v>298.27999999999997</v>
      </c>
    </row>
    <row r="22" spans="1:7" ht="25.5">
      <c r="A22" s="115" t="s">
        <v>31</v>
      </c>
      <c r="B22" s="115">
        <v>88247</v>
      </c>
      <c r="C22" s="118" t="s">
        <v>393</v>
      </c>
      <c r="D22" s="115" t="s">
        <v>394</v>
      </c>
      <c r="E22" s="119">
        <v>0.4</v>
      </c>
      <c r="F22" s="121">
        <v>17.46</v>
      </c>
      <c r="G22" s="122">
        <f t="shared" ref="G22:G23" si="1">ROUND(F22*E22,2)</f>
        <v>6.98</v>
      </c>
    </row>
    <row r="23" spans="1:7">
      <c r="A23" s="116" t="s">
        <v>31</v>
      </c>
      <c r="B23" s="116">
        <v>88264</v>
      </c>
      <c r="C23" s="118" t="s">
        <v>395</v>
      </c>
      <c r="D23" s="17" t="s">
        <v>394</v>
      </c>
      <c r="E23" s="119">
        <v>0.4</v>
      </c>
      <c r="F23" s="120">
        <v>21.67</v>
      </c>
      <c r="G23" s="122">
        <f t="shared" si="1"/>
        <v>8.67</v>
      </c>
    </row>
    <row r="24" spans="1:7">
      <c r="A24" s="361"/>
      <c r="B24" s="362"/>
      <c r="C24" s="362"/>
      <c r="D24" s="362"/>
      <c r="E24" s="362"/>
      <c r="F24" s="362"/>
      <c r="G24" s="363"/>
    </row>
    <row r="25" spans="1:7">
      <c r="A25" s="364"/>
      <c r="B25" s="365"/>
      <c r="C25" s="365"/>
      <c r="D25" s="365"/>
      <c r="E25" s="365"/>
      <c r="F25" s="365"/>
      <c r="G25" s="366"/>
    </row>
    <row r="26" spans="1:7">
      <c r="A26" s="347" t="s">
        <v>22</v>
      </c>
      <c r="B26" s="347"/>
      <c r="C26" s="102" t="s">
        <v>382</v>
      </c>
      <c r="D26" s="102" t="s">
        <v>383</v>
      </c>
      <c r="E26" s="347" t="s">
        <v>23</v>
      </c>
      <c r="F26" s="347"/>
      <c r="G26" s="102" t="s">
        <v>384</v>
      </c>
    </row>
    <row r="27" spans="1:7">
      <c r="A27" s="348">
        <v>3</v>
      </c>
      <c r="B27" s="349"/>
      <c r="C27" s="103" t="s">
        <v>396</v>
      </c>
      <c r="D27" s="112" t="s">
        <v>282</v>
      </c>
      <c r="E27" s="350" t="s">
        <v>397</v>
      </c>
      <c r="F27" s="351"/>
      <c r="G27" s="107">
        <f>SUM(G29:G31)</f>
        <v>141.73999999999998</v>
      </c>
    </row>
    <row r="28" spans="1:7" ht="25.5">
      <c r="A28" s="104" t="s">
        <v>23</v>
      </c>
      <c r="B28" s="104" t="s">
        <v>22</v>
      </c>
      <c r="C28" s="104" t="s">
        <v>385</v>
      </c>
      <c r="D28" s="104" t="s">
        <v>383</v>
      </c>
      <c r="E28" s="104" t="s">
        <v>386</v>
      </c>
      <c r="F28" s="104" t="s">
        <v>387</v>
      </c>
      <c r="G28" s="104" t="s">
        <v>388</v>
      </c>
    </row>
    <row r="29" spans="1:7">
      <c r="A29" s="108" t="s">
        <v>397</v>
      </c>
      <c r="B29" s="109" t="s">
        <v>398</v>
      </c>
      <c r="C29" s="111" t="s">
        <v>396</v>
      </c>
      <c r="D29" s="112" t="s">
        <v>282</v>
      </c>
      <c r="E29" s="113">
        <v>1</v>
      </c>
      <c r="F29" s="114">
        <v>131.94999999999999</v>
      </c>
      <c r="G29" s="122">
        <f>ROUND(F29*E29,2)</f>
        <v>131.94999999999999</v>
      </c>
    </row>
    <row r="30" spans="1:7" ht="25.5">
      <c r="A30" s="115" t="s">
        <v>31</v>
      </c>
      <c r="B30" s="115">
        <v>88247</v>
      </c>
      <c r="C30" s="118" t="s">
        <v>393</v>
      </c>
      <c r="D30" s="115" t="s">
        <v>394</v>
      </c>
      <c r="E30" s="119">
        <v>0.25</v>
      </c>
      <c r="F30" s="121">
        <v>17.46</v>
      </c>
      <c r="G30" s="122">
        <f t="shared" ref="G30:G31" si="2">ROUND(F30*E30,2)</f>
        <v>4.37</v>
      </c>
    </row>
    <row r="31" spans="1:7">
      <c r="A31" s="116" t="s">
        <v>31</v>
      </c>
      <c r="B31" s="116">
        <v>88264</v>
      </c>
      <c r="C31" s="118" t="s">
        <v>395</v>
      </c>
      <c r="D31" s="17" t="s">
        <v>394</v>
      </c>
      <c r="E31" s="119">
        <v>0.25</v>
      </c>
      <c r="F31" s="120">
        <v>21.67</v>
      </c>
      <c r="G31" s="114">
        <f t="shared" si="2"/>
        <v>5.42</v>
      </c>
    </row>
    <row r="32" spans="1:7">
      <c r="A32" s="355"/>
      <c r="B32" s="356"/>
      <c r="C32" s="356"/>
      <c r="D32" s="356"/>
      <c r="E32" s="356"/>
      <c r="F32" s="356"/>
      <c r="G32" s="357"/>
    </row>
    <row r="33" spans="1:7">
      <c r="A33" s="358"/>
      <c r="B33" s="359"/>
      <c r="C33" s="359"/>
      <c r="D33" s="359"/>
      <c r="E33" s="359"/>
      <c r="F33" s="359"/>
      <c r="G33" s="360"/>
    </row>
    <row r="34" spans="1:7">
      <c r="A34" s="347" t="s">
        <v>22</v>
      </c>
      <c r="B34" s="347"/>
      <c r="C34" s="102" t="s">
        <v>382</v>
      </c>
      <c r="D34" s="102" t="s">
        <v>383</v>
      </c>
      <c r="E34" s="347" t="s">
        <v>23</v>
      </c>
      <c r="F34" s="347"/>
      <c r="G34" s="102" t="s">
        <v>384</v>
      </c>
    </row>
    <row r="35" spans="1:7">
      <c r="A35" s="348">
        <v>4</v>
      </c>
      <c r="B35" s="349"/>
      <c r="C35" s="103" t="s">
        <v>576</v>
      </c>
      <c r="D35" s="112" t="s">
        <v>282</v>
      </c>
      <c r="E35" s="350" t="s">
        <v>397</v>
      </c>
      <c r="F35" s="351"/>
      <c r="G35" s="107">
        <f>SUM(G37:G39)</f>
        <v>37.65</v>
      </c>
    </row>
    <row r="36" spans="1:7" ht="25.5">
      <c r="A36" s="104" t="s">
        <v>23</v>
      </c>
      <c r="B36" s="104" t="s">
        <v>22</v>
      </c>
      <c r="C36" s="104" t="s">
        <v>385</v>
      </c>
      <c r="D36" s="104" t="s">
        <v>383</v>
      </c>
      <c r="E36" s="104" t="s">
        <v>386</v>
      </c>
      <c r="F36" s="104" t="s">
        <v>387</v>
      </c>
      <c r="G36" s="104" t="s">
        <v>388</v>
      </c>
    </row>
    <row r="37" spans="1:7">
      <c r="A37" s="108" t="s">
        <v>397</v>
      </c>
      <c r="B37" s="108" t="s">
        <v>398</v>
      </c>
      <c r="C37" s="103" t="s">
        <v>576</v>
      </c>
      <c r="D37" s="112" t="s">
        <v>282</v>
      </c>
      <c r="E37" s="113">
        <v>1</v>
      </c>
      <c r="F37" s="114">
        <v>22</v>
      </c>
      <c r="G37" s="122">
        <f t="shared" ref="G37:G39" si="3">ROUND(F37*E37,2)</f>
        <v>22</v>
      </c>
    </row>
    <row r="38" spans="1:7" ht="25.5">
      <c r="A38" s="115" t="s">
        <v>31</v>
      </c>
      <c r="B38" s="115">
        <v>88247</v>
      </c>
      <c r="C38" s="118" t="s">
        <v>393</v>
      </c>
      <c r="D38" s="115" t="s">
        <v>394</v>
      </c>
      <c r="E38" s="119">
        <v>0.4</v>
      </c>
      <c r="F38" s="121">
        <v>17.46</v>
      </c>
      <c r="G38" s="122">
        <f t="shared" si="3"/>
        <v>6.98</v>
      </c>
    </row>
    <row r="39" spans="1:7">
      <c r="A39" s="116" t="s">
        <v>31</v>
      </c>
      <c r="B39" s="116">
        <v>88264</v>
      </c>
      <c r="C39" s="118" t="s">
        <v>395</v>
      </c>
      <c r="D39" s="17" t="s">
        <v>394</v>
      </c>
      <c r="E39" s="119">
        <v>0.4</v>
      </c>
      <c r="F39" s="120">
        <v>21.67</v>
      </c>
      <c r="G39" s="114">
        <f t="shared" si="3"/>
        <v>8.67</v>
      </c>
    </row>
    <row r="40" spans="1:7">
      <c r="A40" s="361"/>
      <c r="B40" s="362"/>
      <c r="C40" s="362"/>
      <c r="D40" s="362"/>
      <c r="E40" s="362"/>
      <c r="F40" s="362"/>
      <c r="G40" s="363"/>
    </row>
    <row r="41" spans="1:7">
      <c r="A41" s="364"/>
      <c r="B41" s="365"/>
      <c r="C41" s="365"/>
      <c r="D41" s="365"/>
      <c r="E41" s="365"/>
      <c r="F41" s="365"/>
      <c r="G41" s="366"/>
    </row>
    <row r="42" spans="1:7">
      <c r="A42" s="347" t="s">
        <v>22</v>
      </c>
      <c r="B42" s="347"/>
      <c r="C42" s="102" t="s">
        <v>382</v>
      </c>
      <c r="D42" s="102" t="s">
        <v>383</v>
      </c>
      <c r="E42" s="347" t="s">
        <v>23</v>
      </c>
      <c r="F42" s="347"/>
      <c r="G42" s="102" t="s">
        <v>384</v>
      </c>
    </row>
    <row r="43" spans="1:7">
      <c r="A43" s="348">
        <v>5</v>
      </c>
      <c r="B43" s="349"/>
      <c r="C43" s="221" t="s">
        <v>581</v>
      </c>
      <c r="D43" s="112" t="s">
        <v>67</v>
      </c>
      <c r="E43" s="350" t="s">
        <v>397</v>
      </c>
      <c r="F43" s="351"/>
      <c r="G43" s="107">
        <f>SUM(G45:G47)</f>
        <v>25.28</v>
      </c>
    </row>
    <row r="44" spans="1:7" ht="25.5">
      <c r="A44" s="104" t="s">
        <v>23</v>
      </c>
      <c r="B44" s="104" t="s">
        <v>22</v>
      </c>
      <c r="C44" s="104" t="s">
        <v>385</v>
      </c>
      <c r="D44" s="104" t="s">
        <v>383</v>
      </c>
      <c r="E44" s="104" t="s">
        <v>386</v>
      </c>
      <c r="F44" s="104" t="s">
        <v>387</v>
      </c>
      <c r="G44" s="104" t="s">
        <v>388</v>
      </c>
    </row>
    <row r="45" spans="1:7">
      <c r="A45" s="108" t="s">
        <v>397</v>
      </c>
      <c r="B45" s="108" t="s">
        <v>398</v>
      </c>
      <c r="C45" s="221" t="str">
        <f>C43</f>
        <v>ELETRODUTO FLEXÍVEL LISO PAREDE MÍNIMA 3MM - φ3/4"</v>
      </c>
      <c r="D45" s="112" t="s">
        <v>67</v>
      </c>
      <c r="E45" s="113">
        <v>1</v>
      </c>
      <c r="F45" s="114">
        <v>1.8</v>
      </c>
      <c r="G45" s="122">
        <f t="shared" ref="G45:G47" si="4">ROUND(F45*E45,2)</f>
        <v>1.8</v>
      </c>
    </row>
    <row r="46" spans="1:7">
      <c r="A46" s="115" t="s">
        <v>31</v>
      </c>
      <c r="B46" s="115">
        <v>88247</v>
      </c>
      <c r="C46" s="220" t="s">
        <v>393</v>
      </c>
      <c r="D46" s="115" t="s">
        <v>394</v>
      </c>
      <c r="E46" s="119">
        <v>0.6</v>
      </c>
      <c r="F46" s="121">
        <v>17.46</v>
      </c>
      <c r="G46" s="122">
        <f t="shared" si="4"/>
        <v>10.48</v>
      </c>
    </row>
    <row r="47" spans="1:7">
      <c r="A47" s="116" t="s">
        <v>31</v>
      </c>
      <c r="B47" s="116">
        <v>88264</v>
      </c>
      <c r="C47" s="118" t="s">
        <v>395</v>
      </c>
      <c r="D47" s="17" t="s">
        <v>394</v>
      </c>
      <c r="E47" s="119">
        <v>0.6</v>
      </c>
      <c r="F47" s="120">
        <v>21.67</v>
      </c>
      <c r="G47" s="114">
        <f t="shared" si="4"/>
        <v>13</v>
      </c>
    </row>
    <row r="48" spans="1:7">
      <c r="A48" s="367"/>
      <c r="B48" s="368"/>
      <c r="C48" s="368"/>
      <c r="D48" s="368"/>
      <c r="E48" s="368"/>
      <c r="F48" s="368"/>
      <c r="G48" s="369"/>
    </row>
    <row r="49" spans="1:7">
      <c r="A49" s="370"/>
      <c r="B49" s="371"/>
      <c r="C49" s="371"/>
      <c r="D49" s="371"/>
      <c r="E49" s="371"/>
      <c r="F49" s="371"/>
      <c r="G49" s="372"/>
    </row>
    <row r="50" spans="1:7">
      <c r="A50" s="347" t="s">
        <v>22</v>
      </c>
      <c r="B50" s="347"/>
      <c r="C50" s="102" t="s">
        <v>382</v>
      </c>
      <c r="D50" s="102" t="s">
        <v>383</v>
      </c>
      <c r="E50" s="347" t="s">
        <v>23</v>
      </c>
      <c r="F50" s="347"/>
      <c r="G50" s="102" t="s">
        <v>384</v>
      </c>
    </row>
    <row r="51" spans="1:7">
      <c r="A51" s="348">
        <v>6</v>
      </c>
      <c r="B51" s="349"/>
      <c r="C51" s="103" t="s">
        <v>579</v>
      </c>
      <c r="D51" s="105" t="s">
        <v>67</v>
      </c>
      <c r="E51" s="350" t="s">
        <v>397</v>
      </c>
      <c r="F51" s="351"/>
      <c r="G51" s="107">
        <f>SUM(G53:G55)</f>
        <v>25.83</v>
      </c>
    </row>
    <row r="52" spans="1:7" ht="25.5">
      <c r="A52" s="104" t="s">
        <v>23</v>
      </c>
      <c r="B52" s="104" t="s">
        <v>22</v>
      </c>
      <c r="C52" s="104" t="s">
        <v>385</v>
      </c>
      <c r="D52" s="104" t="s">
        <v>383</v>
      </c>
      <c r="E52" s="104" t="s">
        <v>386</v>
      </c>
      <c r="F52" s="104" t="s">
        <v>387</v>
      </c>
      <c r="G52" s="104" t="s">
        <v>388</v>
      </c>
    </row>
    <row r="53" spans="1:7">
      <c r="A53" s="108" t="s">
        <v>399</v>
      </c>
      <c r="B53" s="108" t="s">
        <v>398</v>
      </c>
      <c r="C53" s="111" t="str">
        <f>C51</f>
        <v>ELETRODUTO FLEXÍVEL LISO PAREDE MÍNIMA 3MM - φ1"</v>
      </c>
      <c r="D53" s="17" t="s">
        <v>67</v>
      </c>
      <c r="E53" s="113">
        <v>1</v>
      </c>
      <c r="F53" s="114">
        <v>2.35</v>
      </c>
      <c r="G53" s="122">
        <f t="shared" ref="G53:G55" si="5">ROUND(F53*E53,2)</f>
        <v>2.35</v>
      </c>
    </row>
    <row r="54" spans="1:7" ht="25.5">
      <c r="A54" s="115" t="s">
        <v>31</v>
      </c>
      <c r="B54" s="115">
        <v>88247</v>
      </c>
      <c r="C54" s="118" t="s">
        <v>393</v>
      </c>
      <c r="D54" s="115" t="s">
        <v>394</v>
      </c>
      <c r="E54" s="119">
        <v>0.6</v>
      </c>
      <c r="F54" s="121">
        <v>17.46</v>
      </c>
      <c r="G54" s="122">
        <f t="shared" si="5"/>
        <v>10.48</v>
      </c>
    </row>
    <row r="55" spans="1:7">
      <c r="A55" s="116" t="s">
        <v>31</v>
      </c>
      <c r="B55" s="116">
        <v>88264</v>
      </c>
      <c r="C55" s="118" t="s">
        <v>395</v>
      </c>
      <c r="D55" s="17" t="s">
        <v>394</v>
      </c>
      <c r="E55" s="119">
        <v>0.6</v>
      </c>
      <c r="F55" s="120">
        <v>21.67</v>
      </c>
      <c r="G55" s="114">
        <f t="shared" si="5"/>
        <v>13</v>
      </c>
    </row>
    <row r="56" spans="1:7">
      <c r="A56" s="367"/>
      <c r="B56" s="368"/>
      <c r="C56" s="368"/>
      <c r="D56" s="368"/>
      <c r="E56" s="368"/>
      <c r="F56" s="368"/>
      <c r="G56" s="369"/>
    </row>
    <row r="57" spans="1:7">
      <c r="A57" s="370"/>
      <c r="B57" s="371"/>
      <c r="C57" s="371"/>
      <c r="D57" s="371"/>
      <c r="E57" s="371"/>
      <c r="F57" s="371"/>
      <c r="G57" s="372"/>
    </row>
    <row r="58" spans="1:7">
      <c r="A58" s="347" t="s">
        <v>22</v>
      </c>
      <c r="B58" s="347"/>
      <c r="C58" s="102" t="s">
        <v>382</v>
      </c>
      <c r="D58" s="102" t="s">
        <v>383</v>
      </c>
      <c r="E58" s="347" t="s">
        <v>23</v>
      </c>
      <c r="F58" s="347"/>
      <c r="G58" s="102" t="s">
        <v>384</v>
      </c>
    </row>
    <row r="59" spans="1:7">
      <c r="A59" s="348">
        <v>7</v>
      </c>
      <c r="B59" s="349"/>
      <c r="C59" s="103" t="s">
        <v>580</v>
      </c>
      <c r="D59" s="105" t="s">
        <v>67</v>
      </c>
      <c r="E59" s="350" t="s">
        <v>397</v>
      </c>
      <c r="F59" s="351"/>
      <c r="G59" s="107">
        <f>G61</f>
        <v>1.08</v>
      </c>
    </row>
    <row r="60" spans="1:7" ht="25.5">
      <c r="A60" s="104" t="s">
        <v>23</v>
      </c>
      <c r="B60" s="104" t="s">
        <v>22</v>
      </c>
      <c r="C60" s="104" t="s">
        <v>385</v>
      </c>
      <c r="D60" s="104" t="s">
        <v>383</v>
      </c>
      <c r="E60" s="104" t="s">
        <v>386</v>
      </c>
      <c r="F60" s="104" t="s">
        <v>387</v>
      </c>
      <c r="G60" s="104" t="s">
        <v>388</v>
      </c>
    </row>
    <row r="61" spans="1:7">
      <c r="A61" s="108" t="s">
        <v>399</v>
      </c>
      <c r="B61" s="108" t="s">
        <v>398</v>
      </c>
      <c r="C61" s="111" t="str">
        <f>C59</f>
        <v>ELETRODUTO FLEXÍVEL LISO PAREDE MÍNIMA 3MM - φ2"</v>
      </c>
      <c r="D61" s="17" t="s">
        <v>67</v>
      </c>
      <c r="E61" s="113">
        <v>1</v>
      </c>
      <c r="F61" s="114">
        <v>1.08</v>
      </c>
      <c r="G61" s="122">
        <f t="shared" ref="G61:G63" si="6">ROUND(F61*E61,2)</f>
        <v>1.08</v>
      </c>
    </row>
    <row r="62" spans="1:7" ht="25.5">
      <c r="A62" s="115" t="s">
        <v>31</v>
      </c>
      <c r="B62" s="115">
        <v>88247</v>
      </c>
      <c r="C62" s="118" t="s">
        <v>393</v>
      </c>
      <c r="D62" s="115" t="s">
        <v>394</v>
      </c>
      <c r="E62" s="119">
        <v>0.6</v>
      </c>
      <c r="F62" s="121">
        <v>17.46</v>
      </c>
      <c r="G62" s="122">
        <f t="shared" si="6"/>
        <v>10.48</v>
      </c>
    </row>
    <row r="63" spans="1:7">
      <c r="A63" s="116" t="s">
        <v>31</v>
      </c>
      <c r="B63" s="116">
        <v>88264</v>
      </c>
      <c r="C63" s="118" t="s">
        <v>395</v>
      </c>
      <c r="D63" s="17" t="s">
        <v>394</v>
      </c>
      <c r="E63" s="119">
        <v>0.6</v>
      </c>
      <c r="F63" s="120">
        <v>21.67</v>
      </c>
      <c r="G63" s="114">
        <f t="shared" si="6"/>
        <v>13</v>
      </c>
    </row>
    <row r="64" spans="1:7">
      <c r="A64" s="367"/>
      <c r="B64" s="368"/>
      <c r="C64" s="368"/>
      <c r="D64" s="368"/>
      <c r="E64" s="368"/>
      <c r="F64" s="368"/>
      <c r="G64" s="369"/>
    </row>
    <row r="65" spans="1:7">
      <c r="A65" s="370"/>
      <c r="B65" s="371"/>
      <c r="C65" s="371"/>
      <c r="D65" s="371"/>
      <c r="E65" s="371"/>
      <c r="F65" s="371"/>
      <c r="G65" s="372"/>
    </row>
    <row r="66" spans="1:7">
      <c r="A66" s="347" t="s">
        <v>22</v>
      </c>
      <c r="B66" s="347"/>
      <c r="C66" s="102" t="s">
        <v>382</v>
      </c>
      <c r="D66" s="102" t="s">
        <v>383</v>
      </c>
      <c r="E66" s="347" t="s">
        <v>23</v>
      </c>
      <c r="F66" s="347"/>
      <c r="G66" s="102" t="s">
        <v>384</v>
      </c>
    </row>
    <row r="67" spans="1:7">
      <c r="A67" s="348">
        <v>8</v>
      </c>
      <c r="B67" s="349"/>
      <c r="C67" s="103" t="s">
        <v>582</v>
      </c>
      <c r="D67" s="112" t="s">
        <v>282</v>
      </c>
      <c r="E67" s="350" t="s">
        <v>397</v>
      </c>
      <c r="F67" s="351"/>
      <c r="G67" s="107">
        <f>G69</f>
        <v>279.36</v>
      </c>
    </row>
    <row r="68" spans="1:7" ht="25.5">
      <c r="A68" s="104" t="s">
        <v>23</v>
      </c>
      <c r="B68" s="104" t="s">
        <v>22</v>
      </c>
      <c r="C68" s="104" t="s">
        <v>385</v>
      </c>
      <c r="D68" s="104" t="s">
        <v>383</v>
      </c>
      <c r="E68" s="104" t="s">
        <v>386</v>
      </c>
      <c r="F68" s="104" t="s">
        <v>387</v>
      </c>
      <c r="G68" s="104" t="s">
        <v>388</v>
      </c>
    </row>
    <row r="69" spans="1:7" ht="25.5">
      <c r="A69" s="115" t="s">
        <v>31</v>
      </c>
      <c r="B69" s="115">
        <v>88247</v>
      </c>
      <c r="C69" s="118" t="s">
        <v>393</v>
      </c>
      <c r="D69" s="115" t="s">
        <v>394</v>
      </c>
      <c r="E69" s="119">
        <v>16</v>
      </c>
      <c r="F69" s="121">
        <v>17.46</v>
      </c>
      <c r="G69" s="122">
        <f t="shared" ref="G69:G70" si="7">ROUND(F69*E69,2)</f>
        <v>279.36</v>
      </c>
    </row>
    <row r="70" spans="1:7">
      <c r="A70" s="116" t="s">
        <v>31</v>
      </c>
      <c r="B70" s="116">
        <v>88264</v>
      </c>
      <c r="C70" s="118" t="s">
        <v>395</v>
      </c>
      <c r="D70" s="17" t="s">
        <v>394</v>
      </c>
      <c r="E70" s="119">
        <v>16</v>
      </c>
      <c r="F70" s="120">
        <v>21.67</v>
      </c>
      <c r="G70" s="114">
        <f t="shared" si="7"/>
        <v>346.72</v>
      </c>
    </row>
    <row r="71" spans="1:7">
      <c r="A71" s="367"/>
      <c r="B71" s="368"/>
      <c r="C71" s="368"/>
      <c r="D71" s="368"/>
      <c r="E71" s="368"/>
      <c r="F71" s="368"/>
      <c r="G71" s="369"/>
    </row>
    <row r="72" spans="1:7">
      <c r="A72" s="370"/>
      <c r="B72" s="371"/>
      <c r="C72" s="371"/>
      <c r="D72" s="371"/>
      <c r="E72" s="371"/>
      <c r="F72" s="371"/>
      <c r="G72" s="372"/>
    </row>
    <row r="73" spans="1:7">
      <c r="A73" s="347" t="s">
        <v>22</v>
      </c>
      <c r="B73" s="347"/>
      <c r="C73" s="217" t="s">
        <v>382</v>
      </c>
      <c r="D73" s="217" t="s">
        <v>383</v>
      </c>
      <c r="E73" s="347" t="s">
        <v>23</v>
      </c>
      <c r="F73" s="347"/>
      <c r="G73" s="217" t="s">
        <v>384</v>
      </c>
    </row>
    <row r="74" spans="1:7">
      <c r="A74" s="348">
        <v>9</v>
      </c>
      <c r="B74" s="349"/>
      <c r="C74" s="219" t="s">
        <v>593</v>
      </c>
      <c r="D74" s="112" t="s">
        <v>282</v>
      </c>
      <c r="E74" s="350" t="s">
        <v>397</v>
      </c>
      <c r="F74" s="351"/>
      <c r="G74" s="107">
        <f>SUM(G76:G78)</f>
        <v>13.08</v>
      </c>
    </row>
    <row r="75" spans="1:7" ht="25.5">
      <c r="A75" s="104" t="s">
        <v>23</v>
      </c>
      <c r="B75" s="104" t="s">
        <v>22</v>
      </c>
      <c r="C75" s="104" t="s">
        <v>385</v>
      </c>
      <c r="D75" s="104" t="s">
        <v>383</v>
      </c>
      <c r="E75" s="104" t="s">
        <v>386</v>
      </c>
      <c r="F75" s="104" t="s">
        <v>387</v>
      </c>
      <c r="G75" s="104" t="s">
        <v>388</v>
      </c>
    </row>
    <row r="76" spans="1:7">
      <c r="A76" s="108" t="s">
        <v>399</v>
      </c>
      <c r="B76" s="108" t="s">
        <v>398</v>
      </c>
      <c r="C76" s="111" t="str">
        <f>C74</f>
        <v>BUCHA DE REDUÇÃO SOLDÁVEL CURTA 60MM -  50MM</v>
      </c>
      <c r="D76" s="112" t="s">
        <v>282</v>
      </c>
      <c r="E76" s="113">
        <v>1</v>
      </c>
      <c r="F76" s="114">
        <v>10</v>
      </c>
      <c r="G76" s="122">
        <f t="shared" ref="G76:G81" si="8">ROUND(F76*E76,2)</f>
        <v>10</v>
      </c>
    </row>
    <row r="77" spans="1:7">
      <c r="A77" s="108" t="s">
        <v>31</v>
      </c>
      <c r="B77" s="108">
        <v>122</v>
      </c>
      <c r="C77" s="111" t="s">
        <v>588</v>
      </c>
      <c r="D77" s="112" t="s">
        <v>282</v>
      </c>
      <c r="E77" s="113">
        <v>0.04</v>
      </c>
      <c r="F77" s="120">
        <v>36.94</v>
      </c>
      <c r="G77" s="122">
        <f t="shared" si="8"/>
        <v>1.48</v>
      </c>
    </row>
    <row r="78" spans="1:7" ht="25.5">
      <c r="A78" s="108" t="s">
        <v>31</v>
      </c>
      <c r="B78" s="108">
        <v>20083</v>
      </c>
      <c r="C78" s="111" t="s">
        <v>589</v>
      </c>
      <c r="D78" s="112" t="s">
        <v>282</v>
      </c>
      <c r="E78" s="113">
        <v>0.05</v>
      </c>
      <c r="F78" s="120">
        <v>32.08</v>
      </c>
      <c r="G78" s="122">
        <f t="shared" si="8"/>
        <v>1.6</v>
      </c>
    </row>
    <row r="79" spans="1:7">
      <c r="A79" s="108" t="s">
        <v>31</v>
      </c>
      <c r="B79" s="108">
        <v>38383</v>
      </c>
      <c r="C79" s="111" t="s">
        <v>590</v>
      </c>
      <c r="D79" s="112" t="s">
        <v>282</v>
      </c>
      <c r="E79" s="113">
        <v>0.04</v>
      </c>
      <c r="F79" s="120">
        <v>1.65</v>
      </c>
      <c r="G79" s="122">
        <f t="shared" si="8"/>
        <v>7.0000000000000007E-2</v>
      </c>
    </row>
    <row r="80" spans="1:7" ht="25.5">
      <c r="A80" s="108" t="s">
        <v>31</v>
      </c>
      <c r="B80" s="108">
        <v>88267</v>
      </c>
      <c r="C80" s="111" t="s">
        <v>591</v>
      </c>
      <c r="D80" s="112" t="s">
        <v>394</v>
      </c>
      <c r="E80" s="113">
        <v>0.17</v>
      </c>
      <c r="F80" s="120">
        <v>22.11</v>
      </c>
      <c r="G80" s="122">
        <f t="shared" si="8"/>
        <v>3.76</v>
      </c>
    </row>
    <row r="81" spans="1:7" ht="25.5">
      <c r="A81" s="115" t="s">
        <v>31</v>
      </c>
      <c r="B81" s="115">
        <v>88248</v>
      </c>
      <c r="C81" s="118" t="s">
        <v>592</v>
      </c>
      <c r="D81" s="115" t="s">
        <v>394</v>
      </c>
      <c r="E81" s="119">
        <v>0.17</v>
      </c>
      <c r="F81" s="121">
        <v>17.809999999999999</v>
      </c>
      <c r="G81" s="114">
        <f t="shared" si="8"/>
        <v>3.03</v>
      </c>
    </row>
    <row r="84" spans="1:7">
      <c r="A84" s="347" t="s">
        <v>22</v>
      </c>
      <c r="B84" s="347"/>
      <c r="C84" s="217" t="s">
        <v>382</v>
      </c>
      <c r="D84" s="217" t="s">
        <v>383</v>
      </c>
      <c r="E84" s="347" t="s">
        <v>23</v>
      </c>
      <c r="F84" s="347"/>
      <c r="G84" s="217" t="s">
        <v>384</v>
      </c>
    </row>
    <row r="85" spans="1:7">
      <c r="A85" s="348">
        <v>10</v>
      </c>
      <c r="B85" s="349"/>
      <c r="C85" s="219" t="s">
        <v>594</v>
      </c>
      <c r="D85" s="112" t="s">
        <v>282</v>
      </c>
      <c r="E85" s="350" t="s">
        <v>397</v>
      </c>
      <c r="F85" s="351"/>
      <c r="G85" s="107">
        <f>SUM(G87:G89)</f>
        <v>18.080000000000002</v>
      </c>
    </row>
    <row r="86" spans="1:7" ht="25.5">
      <c r="A86" s="104" t="s">
        <v>23</v>
      </c>
      <c r="B86" s="104" t="s">
        <v>22</v>
      </c>
      <c r="C86" s="104" t="s">
        <v>385</v>
      </c>
      <c r="D86" s="104" t="s">
        <v>383</v>
      </c>
      <c r="E86" s="104" t="s">
        <v>386</v>
      </c>
      <c r="F86" s="104" t="s">
        <v>387</v>
      </c>
      <c r="G86" s="104" t="s">
        <v>388</v>
      </c>
    </row>
    <row r="87" spans="1:7">
      <c r="A87" s="108" t="s">
        <v>399</v>
      </c>
      <c r="B87" s="108" t="s">
        <v>398</v>
      </c>
      <c r="C87" s="111" t="str">
        <f>C85</f>
        <v>BUCHA DE REDUÇÃO SOLDÁVEL CURTA 75MM -  60MM</v>
      </c>
      <c r="D87" s="112" t="s">
        <v>282</v>
      </c>
      <c r="E87" s="113">
        <v>1</v>
      </c>
      <c r="F87" s="114">
        <v>15</v>
      </c>
      <c r="G87" s="122">
        <f t="shared" ref="G87:G92" si="9">ROUND(F87*E87,2)</f>
        <v>15</v>
      </c>
    </row>
    <row r="88" spans="1:7">
      <c r="A88" s="108" t="s">
        <v>31</v>
      </c>
      <c r="B88" s="108">
        <v>122</v>
      </c>
      <c r="C88" s="111" t="s">
        <v>588</v>
      </c>
      <c r="D88" s="112" t="s">
        <v>282</v>
      </c>
      <c r="E88" s="113">
        <v>0.04</v>
      </c>
      <c r="F88" s="120">
        <v>36.94</v>
      </c>
      <c r="G88" s="122">
        <f t="shared" si="9"/>
        <v>1.48</v>
      </c>
    </row>
    <row r="89" spans="1:7" ht="25.5">
      <c r="A89" s="108" t="s">
        <v>31</v>
      </c>
      <c r="B89" s="108">
        <v>20083</v>
      </c>
      <c r="C89" s="111" t="s">
        <v>589</v>
      </c>
      <c r="D89" s="112" t="s">
        <v>282</v>
      </c>
      <c r="E89" s="113">
        <v>0.05</v>
      </c>
      <c r="F89" s="120">
        <v>32.08</v>
      </c>
      <c r="G89" s="122">
        <f t="shared" si="9"/>
        <v>1.6</v>
      </c>
    </row>
    <row r="90" spans="1:7">
      <c r="A90" s="108" t="s">
        <v>31</v>
      </c>
      <c r="B90" s="108">
        <v>38383</v>
      </c>
      <c r="C90" s="111" t="s">
        <v>590</v>
      </c>
      <c r="D90" s="112" t="s">
        <v>282</v>
      </c>
      <c r="E90" s="113">
        <v>0.04</v>
      </c>
      <c r="F90" s="120">
        <v>1.65</v>
      </c>
      <c r="G90" s="122">
        <f t="shared" si="9"/>
        <v>7.0000000000000007E-2</v>
      </c>
    </row>
    <row r="91" spans="1:7" ht="25.5">
      <c r="A91" s="108" t="s">
        <v>31</v>
      </c>
      <c r="B91" s="108">
        <v>88267</v>
      </c>
      <c r="C91" s="111" t="s">
        <v>591</v>
      </c>
      <c r="D91" s="112" t="s">
        <v>394</v>
      </c>
      <c r="E91" s="113">
        <v>0.17</v>
      </c>
      <c r="F91" s="120">
        <v>22.11</v>
      </c>
      <c r="G91" s="122">
        <f t="shared" si="9"/>
        <v>3.76</v>
      </c>
    </row>
    <row r="92" spans="1:7" ht="25.5">
      <c r="A92" s="115" t="s">
        <v>31</v>
      </c>
      <c r="B92" s="115">
        <v>88248</v>
      </c>
      <c r="C92" s="118" t="s">
        <v>592</v>
      </c>
      <c r="D92" s="115" t="s">
        <v>394</v>
      </c>
      <c r="E92" s="119">
        <v>0.17</v>
      </c>
      <c r="F92" s="121">
        <v>17.809999999999999</v>
      </c>
      <c r="G92" s="114">
        <f t="shared" si="9"/>
        <v>3.03</v>
      </c>
    </row>
    <row r="95" spans="1:7">
      <c r="A95" s="347" t="s">
        <v>22</v>
      </c>
      <c r="B95" s="347"/>
      <c r="C95" s="217" t="s">
        <v>382</v>
      </c>
      <c r="D95" s="217" t="s">
        <v>383</v>
      </c>
      <c r="E95" s="347" t="s">
        <v>23</v>
      </c>
      <c r="F95" s="347"/>
      <c r="G95" s="217" t="s">
        <v>384</v>
      </c>
    </row>
    <row r="96" spans="1:7">
      <c r="A96" s="348">
        <v>11</v>
      </c>
      <c r="B96" s="349"/>
      <c r="C96" s="219" t="s">
        <v>595</v>
      </c>
      <c r="D96" s="112" t="s">
        <v>282</v>
      </c>
      <c r="E96" s="350" t="s">
        <v>397</v>
      </c>
      <c r="F96" s="351"/>
      <c r="G96" s="107">
        <f>SUM(G98:G100)</f>
        <v>6.08</v>
      </c>
    </row>
    <row r="97" spans="1:7" ht="25.5">
      <c r="A97" s="104" t="s">
        <v>23</v>
      </c>
      <c r="B97" s="104" t="s">
        <v>22</v>
      </c>
      <c r="C97" s="104" t="s">
        <v>385</v>
      </c>
      <c r="D97" s="104" t="s">
        <v>383</v>
      </c>
      <c r="E97" s="104" t="s">
        <v>386</v>
      </c>
      <c r="F97" s="104" t="s">
        <v>387</v>
      </c>
      <c r="G97" s="104" t="s">
        <v>388</v>
      </c>
    </row>
    <row r="98" spans="1:7">
      <c r="A98" s="108" t="s">
        <v>399</v>
      </c>
      <c r="B98" s="108" t="s">
        <v>398</v>
      </c>
      <c r="C98" s="111" t="str">
        <f>C96</f>
        <v>BUCHA DE REDUÇÃO SOLDÁVEL LONGA 50MM -  25MM</v>
      </c>
      <c r="D98" s="112" t="s">
        <v>282</v>
      </c>
      <c r="E98" s="113">
        <v>1</v>
      </c>
      <c r="F98" s="114">
        <v>3</v>
      </c>
      <c r="G98" s="122">
        <f t="shared" ref="G98:G103" si="10">ROUND(F98*E98,2)</f>
        <v>3</v>
      </c>
    </row>
    <row r="99" spans="1:7">
      <c r="A99" s="108" t="s">
        <v>31</v>
      </c>
      <c r="B99" s="108">
        <v>122</v>
      </c>
      <c r="C99" s="111" t="s">
        <v>588</v>
      </c>
      <c r="D99" s="112" t="s">
        <v>282</v>
      </c>
      <c r="E99" s="113">
        <v>0.04</v>
      </c>
      <c r="F99" s="120">
        <v>36.94</v>
      </c>
      <c r="G99" s="122">
        <f t="shared" si="10"/>
        <v>1.48</v>
      </c>
    </row>
    <row r="100" spans="1:7" ht="25.5">
      <c r="A100" s="108" t="s">
        <v>31</v>
      </c>
      <c r="B100" s="108">
        <v>20083</v>
      </c>
      <c r="C100" s="111" t="s">
        <v>589</v>
      </c>
      <c r="D100" s="112" t="s">
        <v>282</v>
      </c>
      <c r="E100" s="113">
        <v>0.05</v>
      </c>
      <c r="F100" s="120">
        <v>32.08</v>
      </c>
      <c r="G100" s="122">
        <f t="shared" si="10"/>
        <v>1.6</v>
      </c>
    </row>
    <row r="101" spans="1:7">
      <c r="A101" s="108" t="s">
        <v>31</v>
      </c>
      <c r="B101" s="108">
        <v>38383</v>
      </c>
      <c r="C101" s="111" t="s">
        <v>590</v>
      </c>
      <c r="D101" s="112" t="s">
        <v>282</v>
      </c>
      <c r="E101" s="113">
        <v>0.04</v>
      </c>
      <c r="F101" s="120">
        <v>1.65</v>
      </c>
      <c r="G101" s="122">
        <f t="shared" si="10"/>
        <v>7.0000000000000007E-2</v>
      </c>
    </row>
    <row r="102" spans="1:7" ht="25.5">
      <c r="A102" s="108" t="s">
        <v>31</v>
      </c>
      <c r="B102" s="108">
        <v>88267</v>
      </c>
      <c r="C102" s="111" t="s">
        <v>591</v>
      </c>
      <c r="D102" s="112" t="s">
        <v>394</v>
      </c>
      <c r="E102" s="113">
        <v>0.17</v>
      </c>
      <c r="F102" s="120">
        <v>22.11</v>
      </c>
      <c r="G102" s="122">
        <f t="shared" si="10"/>
        <v>3.76</v>
      </c>
    </row>
    <row r="103" spans="1:7" ht="25.5">
      <c r="A103" s="115" t="s">
        <v>31</v>
      </c>
      <c r="B103" s="115">
        <v>88248</v>
      </c>
      <c r="C103" s="118" t="s">
        <v>592</v>
      </c>
      <c r="D103" s="115" t="s">
        <v>394</v>
      </c>
      <c r="E103" s="119">
        <v>0.17</v>
      </c>
      <c r="F103" s="121">
        <v>17.809999999999999</v>
      </c>
      <c r="G103" s="114">
        <f t="shared" si="10"/>
        <v>3.03</v>
      </c>
    </row>
    <row r="106" spans="1:7">
      <c r="A106" s="347" t="s">
        <v>22</v>
      </c>
      <c r="B106" s="347"/>
      <c r="C106" s="217" t="s">
        <v>382</v>
      </c>
      <c r="D106" s="217" t="s">
        <v>383</v>
      </c>
      <c r="E106" s="347" t="s">
        <v>23</v>
      </c>
      <c r="F106" s="347"/>
      <c r="G106" s="217" t="s">
        <v>384</v>
      </c>
    </row>
    <row r="107" spans="1:7">
      <c r="A107" s="348">
        <v>12</v>
      </c>
      <c r="B107" s="349"/>
      <c r="C107" s="219" t="s">
        <v>596</v>
      </c>
      <c r="D107" s="112" t="s">
        <v>282</v>
      </c>
      <c r="E107" s="350" t="s">
        <v>397</v>
      </c>
      <c r="F107" s="351"/>
      <c r="G107" s="107">
        <f>SUM(G109:G111)</f>
        <v>9.08</v>
      </c>
    </row>
    <row r="108" spans="1:7" ht="25.5">
      <c r="A108" s="104" t="s">
        <v>23</v>
      </c>
      <c r="B108" s="104" t="s">
        <v>22</v>
      </c>
      <c r="C108" s="104" t="s">
        <v>385</v>
      </c>
      <c r="D108" s="104" t="s">
        <v>383</v>
      </c>
      <c r="E108" s="104" t="s">
        <v>386</v>
      </c>
      <c r="F108" s="104" t="s">
        <v>387</v>
      </c>
      <c r="G108" s="104" t="s">
        <v>388</v>
      </c>
    </row>
    <row r="109" spans="1:7">
      <c r="A109" s="108" t="s">
        <v>399</v>
      </c>
      <c r="B109" s="108" t="s">
        <v>398</v>
      </c>
      <c r="C109" s="111" t="str">
        <f>C107</f>
        <v>BUCHA DE REDUÇÃO SOLDÁVEL LONGA 60MM -  50MM</v>
      </c>
      <c r="D109" s="112" t="s">
        <v>282</v>
      </c>
      <c r="E109" s="113">
        <v>1</v>
      </c>
      <c r="F109" s="114">
        <v>6</v>
      </c>
      <c r="G109" s="122">
        <f t="shared" ref="G109:G114" si="11">ROUND(F109*E109,2)</f>
        <v>6</v>
      </c>
    </row>
    <row r="110" spans="1:7">
      <c r="A110" s="108" t="s">
        <v>31</v>
      </c>
      <c r="B110" s="108">
        <v>122</v>
      </c>
      <c r="C110" s="111" t="s">
        <v>588</v>
      </c>
      <c r="D110" s="112" t="s">
        <v>282</v>
      </c>
      <c r="E110" s="113">
        <v>0.04</v>
      </c>
      <c r="F110" s="120">
        <v>36.94</v>
      </c>
      <c r="G110" s="122">
        <f t="shared" si="11"/>
        <v>1.48</v>
      </c>
    </row>
    <row r="111" spans="1:7" ht="25.5">
      <c r="A111" s="108" t="s">
        <v>31</v>
      </c>
      <c r="B111" s="108">
        <v>20083</v>
      </c>
      <c r="C111" s="111" t="s">
        <v>589</v>
      </c>
      <c r="D111" s="112" t="s">
        <v>282</v>
      </c>
      <c r="E111" s="113">
        <v>0.05</v>
      </c>
      <c r="F111" s="120">
        <v>32.08</v>
      </c>
      <c r="G111" s="122">
        <f t="shared" si="11"/>
        <v>1.6</v>
      </c>
    </row>
    <row r="112" spans="1:7">
      <c r="A112" s="108" t="s">
        <v>31</v>
      </c>
      <c r="B112" s="108">
        <v>38383</v>
      </c>
      <c r="C112" s="111" t="s">
        <v>590</v>
      </c>
      <c r="D112" s="112" t="s">
        <v>282</v>
      </c>
      <c r="E112" s="113">
        <v>0.04</v>
      </c>
      <c r="F112" s="120">
        <v>1.65</v>
      </c>
      <c r="G112" s="122">
        <f t="shared" si="11"/>
        <v>7.0000000000000007E-2</v>
      </c>
    </row>
    <row r="113" spans="1:7" ht="25.5">
      <c r="A113" s="108" t="s">
        <v>31</v>
      </c>
      <c r="B113" s="108">
        <v>88267</v>
      </c>
      <c r="C113" s="111" t="s">
        <v>591</v>
      </c>
      <c r="D113" s="112" t="s">
        <v>394</v>
      </c>
      <c r="E113" s="113">
        <v>0.17</v>
      </c>
      <c r="F113" s="120">
        <v>22.11</v>
      </c>
      <c r="G113" s="122">
        <f t="shared" si="11"/>
        <v>3.76</v>
      </c>
    </row>
    <row r="114" spans="1:7" ht="25.5">
      <c r="A114" s="115" t="s">
        <v>31</v>
      </c>
      <c r="B114" s="115">
        <v>88248</v>
      </c>
      <c r="C114" s="118" t="s">
        <v>592</v>
      </c>
      <c r="D114" s="115" t="s">
        <v>394</v>
      </c>
      <c r="E114" s="119">
        <v>0.17</v>
      </c>
      <c r="F114" s="121">
        <v>17.809999999999999</v>
      </c>
      <c r="G114" s="114">
        <f t="shared" si="11"/>
        <v>3.03</v>
      </c>
    </row>
    <row r="117" spans="1:7">
      <c r="A117" s="347" t="s">
        <v>22</v>
      </c>
      <c r="B117" s="347"/>
      <c r="C117" s="217" t="s">
        <v>382</v>
      </c>
      <c r="D117" s="217" t="s">
        <v>383</v>
      </c>
      <c r="E117" s="347" t="s">
        <v>23</v>
      </c>
      <c r="F117" s="347"/>
      <c r="G117" s="217" t="s">
        <v>384</v>
      </c>
    </row>
    <row r="118" spans="1:7">
      <c r="A118" s="348">
        <v>13</v>
      </c>
      <c r="B118" s="349"/>
      <c r="C118" s="219" t="s">
        <v>597</v>
      </c>
      <c r="D118" s="112" t="s">
        <v>282</v>
      </c>
      <c r="E118" s="350" t="s">
        <v>397</v>
      </c>
      <c r="F118" s="351"/>
      <c r="G118" s="107">
        <f>SUM(G120:G122)</f>
        <v>26.580000000000002</v>
      </c>
    </row>
    <row r="119" spans="1:7" ht="25.5">
      <c r="A119" s="104" t="s">
        <v>23</v>
      </c>
      <c r="B119" s="104" t="s">
        <v>22</v>
      </c>
      <c r="C119" s="104" t="s">
        <v>385</v>
      </c>
      <c r="D119" s="104" t="s">
        <v>383</v>
      </c>
      <c r="E119" s="104" t="s">
        <v>386</v>
      </c>
      <c r="F119" s="104" t="s">
        <v>387</v>
      </c>
      <c r="G119" s="104" t="s">
        <v>388</v>
      </c>
    </row>
    <row r="120" spans="1:7">
      <c r="A120" s="108" t="s">
        <v>399</v>
      </c>
      <c r="B120" s="108" t="s">
        <v>398</v>
      </c>
      <c r="C120" s="219" t="s">
        <v>597</v>
      </c>
      <c r="D120" s="112" t="s">
        <v>282</v>
      </c>
      <c r="E120" s="113">
        <v>1</v>
      </c>
      <c r="F120" s="114">
        <v>23.5</v>
      </c>
      <c r="G120" s="122">
        <f t="shared" ref="G120:G125" si="12">ROUND(F120*E120,2)</f>
        <v>23.5</v>
      </c>
    </row>
    <row r="121" spans="1:7">
      <c r="A121" s="108" t="s">
        <v>31</v>
      </c>
      <c r="B121" s="108">
        <v>122</v>
      </c>
      <c r="C121" s="111" t="s">
        <v>588</v>
      </c>
      <c r="D121" s="112" t="s">
        <v>282</v>
      </c>
      <c r="E121" s="113">
        <v>0.04</v>
      </c>
      <c r="F121" s="120">
        <v>36.94</v>
      </c>
      <c r="G121" s="122">
        <f t="shared" si="12"/>
        <v>1.48</v>
      </c>
    </row>
    <row r="122" spans="1:7" ht="25.5">
      <c r="A122" s="108" t="s">
        <v>31</v>
      </c>
      <c r="B122" s="108">
        <v>20083</v>
      </c>
      <c r="C122" s="111" t="s">
        <v>589</v>
      </c>
      <c r="D122" s="112" t="s">
        <v>282</v>
      </c>
      <c r="E122" s="113">
        <v>0.05</v>
      </c>
      <c r="F122" s="120">
        <v>32.08</v>
      </c>
      <c r="G122" s="122">
        <f t="shared" si="12"/>
        <v>1.6</v>
      </c>
    </row>
    <row r="123" spans="1:7">
      <c r="A123" s="108" t="s">
        <v>31</v>
      </c>
      <c r="B123" s="108">
        <v>38383</v>
      </c>
      <c r="C123" s="111" t="s">
        <v>590</v>
      </c>
      <c r="D123" s="112" t="s">
        <v>282</v>
      </c>
      <c r="E123" s="113">
        <v>0.04</v>
      </c>
      <c r="F123" s="120">
        <v>1.65</v>
      </c>
      <c r="G123" s="122">
        <f t="shared" si="12"/>
        <v>7.0000000000000007E-2</v>
      </c>
    </row>
    <row r="124" spans="1:7" ht="25.5">
      <c r="A124" s="108" t="s">
        <v>31</v>
      </c>
      <c r="B124" s="108">
        <v>88267</v>
      </c>
      <c r="C124" s="111" t="s">
        <v>591</v>
      </c>
      <c r="D124" s="112" t="s">
        <v>394</v>
      </c>
      <c r="E124" s="113">
        <v>0.17</v>
      </c>
      <c r="F124" s="120">
        <v>22.11</v>
      </c>
      <c r="G124" s="122">
        <f t="shared" si="12"/>
        <v>3.76</v>
      </c>
    </row>
    <row r="125" spans="1:7" ht="25.5">
      <c r="A125" s="115" t="s">
        <v>31</v>
      </c>
      <c r="B125" s="115">
        <v>88248</v>
      </c>
      <c r="C125" s="118" t="s">
        <v>592</v>
      </c>
      <c r="D125" s="115" t="s">
        <v>394</v>
      </c>
      <c r="E125" s="119">
        <v>0.17</v>
      </c>
      <c r="F125" s="121">
        <v>17.809999999999999</v>
      </c>
      <c r="G125" s="114">
        <f t="shared" si="12"/>
        <v>3.03</v>
      </c>
    </row>
    <row r="128" spans="1:7">
      <c r="A128" s="347" t="s">
        <v>22</v>
      </c>
      <c r="B128" s="347"/>
      <c r="C128" s="217" t="s">
        <v>382</v>
      </c>
      <c r="D128" s="217" t="s">
        <v>383</v>
      </c>
      <c r="E128" s="347" t="s">
        <v>23</v>
      </c>
      <c r="F128" s="347"/>
      <c r="G128" s="217" t="s">
        <v>384</v>
      </c>
    </row>
    <row r="129" spans="1:7" ht="25.5">
      <c r="A129" s="348">
        <v>14</v>
      </c>
      <c r="B129" s="349"/>
      <c r="C129" s="219" t="s">
        <v>598</v>
      </c>
      <c r="D129" s="112" t="s">
        <v>282</v>
      </c>
      <c r="E129" s="350" t="s">
        <v>397</v>
      </c>
      <c r="F129" s="351"/>
      <c r="G129" s="107">
        <f>SUM(G131:G133)</f>
        <v>7.33</v>
      </c>
    </row>
    <row r="130" spans="1:7" ht="25.5">
      <c r="A130" s="104" t="s">
        <v>23</v>
      </c>
      <c r="B130" s="104" t="s">
        <v>22</v>
      </c>
      <c r="C130" s="104" t="s">
        <v>385</v>
      </c>
      <c r="D130" s="104" t="s">
        <v>383</v>
      </c>
      <c r="E130" s="104" t="s">
        <v>386</v>
      </c>
      <c r="F130" s="104" t="s">
        <v>387</v>
      </c>
      <c r="G130" s="104" t="s">
        <v>388</v>
      </c>
    </row>
    <row r="131" spans="1:7" ht="25.5">
      <c r="A131" s="108" t="s">
        <v>399</v>
      </c>
      <c r="B131" s="108" t="s">
        <v>398</v>
      </c>
      <c r="C131" s="219" t="s">
        <v>598</v>
      </c>
      <c r="D131" s="112" t="s">
        <v>282</v>
      </c>
      <c r="E131" s="113">
        <v>1</v>
      </c>
      <c r="F131" s="114">
        <v>4.25</v>
      </c>
      <c r="G131" s="122">
        <f t="shared" ref="G131:G136" si="13">ROUND(F131*E131,2)</f>
        <v>4.25</v>
      </c>
    </row>
    <row r="132" spans="1:7">
      <c r="A132" s="108" t="s">
        <v>31</v>
      </c>
      <c r="B132" s="108">
        <v>122</v>
      </c>
      <c r="C132" s="111" t="s">
        <v>588</v>
      </c>
      <c r="D132" s="112" t="s">
        <v>282</v>
      </c>
      <c r="E132" s="113">
        <v>0.04</v>
      </c>
      <c r="F132" s="120">
        <v>36.94</v>
      </c>
      <c r="G132" s="122">
        <f t="shared" si="13"/>
        <v>1.48</v>
      </c>
    </row>
    <row r="133" spans="1:7" ht="25.5">
      <c r="A133" s="108" t="s">
        <v>31</v>
      </c>
      <c r="B133" s="108">
        <v>20083</v>
      </c>
      <c r="C133" s="111" t="s">
        <v>589</v>
      </c>
      <c r="D133" s="112" t="s">
        <v>282</v>
      </c>
      <c r="E133" s="113">
        <v>0.05</v>
      </c>
      <c r="F133" s="120">
        <v>32.08</v>
      </c>
      <c r="G133" s="122">
        <f t="shared" si="13"/>
        <v>1.6</v>
      </c>
    </row>
    <row r="134" spans="1:7">
      <c r="A134" s="108" t="s">
        <v>31</v>
      </c>
      <c r="B134" s="108">
        <v>38383</v>
      </c>
      <c r="C134" s="111" t="s">
        <v>590</v>
      </c>
      <c r="D134" s="112" t="s">
        <v>282</v>
      </c>
      <c r="E134" s="113">
        <v>0.04</v>
      </c>
      <c r="F134" s="120">
        <v>1.65</v>
      </c>
      <c r="G134" s="122">
        <f t="shared" si="13"/>
        <v>7.0000000000000007E-2</v>
      </c>
    </row>
    <row r="135" spans="1:7" ht="25.5">
      <c r="A135" s="108" t="s">
        <v>31</v>
      </c>
      <c r="B135" s="108">
        <v>88267</v>
      </c>
      <c r="C135" s="111" t="s">
        <v>591</v>
      </c>
      <c r="D135" s="112" t="s">
        <v>394</v>
      </c>
      <c r="E135" s="113">
        <v>0.17</v>
      </c>
      <c r="F135" s="120">
        <v>22.11</v>
      </c>
      <c r="G135" s="122">
        <f t="shared" si="13"/>
        <v>3.76</v>
      </c>
    </row>
    <row r="136" spans="1:7" ht="25.5">
      <c r="A136" s="115" t="s">
        <v>31</v>
      </c>
      <c r="B136" s="115">
        <v>88248</v>
      </c>
      <c r="C136" s="118" t="s">
        <v>592</v>
      </c>
      <c r="D136" s="115" t="s">
        <v>394</v>
      </c>
      <c r="E136" s="119">
        <v>0.17</v>
      </c>
      <c r="F136" s="121">
        <v>17.809999999999999</v>
      </c>
      <c r="G136" s="114">
        <f t="shared" si="13"/>
        <v>3.03</v>
      </c>
    </row>
    <row r="139" spans="1:7">
      <c r="A139" s="347" t="s">
        <v>22</v>
      </c>
      <c r="B139" s="347"/>
      <c r="C139" s="217" t="s">
        <v>382</v>
      </c>
      <c r="D139" s="217" t="s">
        <v>383</v>
      </c>
      <c r="E139" s="347" t="s">
        <v>23</v>
      </c>
      <c r="F139" s="347"/>
      <c r="G139" s="217" t="s">
        <v>384</v>
      </c>
    </row>
    <row r="140" spans="1:7">
      <c r="A140" s="348">
        <v>15</v>
      </c>
      <c r="B140" s="349"/>
      <c r="C140" s="219" t="s">
        <v>599</v>
      </c>
      <c r="D140" s="112" t="s">
        <v>282</v>
      </c>
      <c r="E140" s="350" t="s">
        <v>397</v>
      </c>
      <c r="F140" s="351"/>
      <c r="G140" s="107">
        <f>SUM(G142:G144)</f>
        <v>458.09</v>
      </c>
    </row>
    <row r="141" spans="1:7" ht="25.5">
      <c r="A141" s="104" t="s">
        <v>23</v>
      </c>
      <c r="B141" s="104" t="s">
        <v>22</v>
      </c>
      <c r="C141" s="104" t="s">
        <v>385</v>
      </c>
      <c r="D141" s="104" t="s">
        <v>383</v>
      </c>
      <c r="E141" s="104" t="s">
        <v>386</v>
      </c>
      <c r="F141" s="104" t="s">
        <v>387</v>
      </c>
      <c r="G141" s="104" t="s">
        <v>388</v>
      </c>
    </row>
    <row r="142" spans="1:7">
      <c r="A142" s="108" t="s">
        <v>399</v>
      </c>
      <c r="B142" s="108" t="s">
        <v>398</v>
      </c>
      <c r="C142" s="219" t="s">
        <v>599</v>
      </c>
      <c r="D142" s="112" t="s">
        <v>282</v>
      </c>
      <c r="E142" s="222">
        <v>1</v>
      </c>
      <c r="F142" s="114">
        <v>150.69999999999999</v>
      </c>
      <c r="G142" s="122">
        <f t="shared" ref="G142:G144" si="14">ROUND(F142*E142,2)</f>
        <v>150.69999999999999</v>
      </c>
    </row>
    <row r="143" spans="1:7" ht="25.5">
      <c r="A143" s="108" t="s">
        <v>31</v>
      </c>
      <c r="B143" s="108">
        <v>88267</v>
      </c>
      <c r="C143" s="111" t="s">
        <v>591</v>
      </c>
      <c r="D143" s="112" t="s">
        <v>394</v>
      </c>
      <c r="E143" s="113">
        <v>7.7</v>
      </c>
      <c r="F143" s="120">
        <v>22.11</v>
      </c>
      <c r="G143" s="122">
        <f t="shared" si="14"/>
        <v>170.25</v>
      </c>
    </row>
    <row r="144" spans="1:7" ht="25.5">
      <c r="A144" s="115" t="s">
        <v>31</v>
      </c>
      <c r="B144" s="115">
        <v>88248</v>
      </c>
      <c r="C144" s="118" t="s">
        <v>592</v>
      </c>
      <c r="D144" s="115" t="s">
        <v>394</v>
      </c>
      <c r="E144" s="119">
        <v>7.7</v>
      </c>
      <c r="F144" s="121">
        <v>17.809999999999999</v>
      </c>
      <c r="G144" s="114">
        <f t="shared" si="14"/>
        <v>137.13999999999999</v>
      </c>
    </row>
    <row r="147" spans="1:7">
      <c r="A147" s="347" t="s">
        <v>22</v>
      </c>
      <c r="B147" s="347"/>
      <c r="C147" s="217" t="s">
        <v>382</v>
      </c>
      <c r="D147" s="217" t="s">
        <v>383</v>
      </c>
      <c r="E147" s="347" t="s">
        <v>23</v>
      </c>
      <c r="F147" s="347"/>
      <c r="G147" s="217" t="s">
        <v>384</v>
      </c>
    </row>
    <row r="148" spans="1:7">
      <c r="A148" s="348">
        <v>16</v>
      </c>
      <c r="B148" s="349"/>
      <c r="C148" s="219" t="s">
        <v>559</v>
      </c>
      <c r="D148" s="112" t="s">
        <v>282</v>
      </c>
      <c r="E148" s="350" t="s">
        <v>397</v>
      </c>
      <c r="F148" s="351"/>
      <c r="G148" s="107">
        <f>SUM(G150:G152)</f>
        <v>6.5400000000000009</v>
      </c>
    </row>
    <row r="149" spans="1:7" ht="25.5">
      <c r="A149" s="104" t="s">
        <v>23</v>
      </c>
      <c r="B149" s="104" t="s">
        <v>22</v>
      </c>
      <c r="C149" s="104" t="s">
        <v>385</v>
      </c>
      <c r="D149" s="104" t="s">
        <v>383</v>
      </c>
      <c r="E149" s="104" t="s">
        <v>386</v>
      </c>
      <c r="F149" s="104" t="s">
        <v>387</v>
      </c>
      <c r="G149" s="104" t="s">
        <v>388</v>
      </c>
    </row>
    <row r="150" spans="1:7">
      <c r="A150" s="108" t="s">
        <v>399</v>
      </c>
      <c r="B150" s="108" t="s">
        <v>398</v>
      </c>
      <c r="C150" s="219" t="s">
        <v>559</v>
      </c>
      <c r="D150" s="112" t="s">
        <v>282</v>
      </c>
      <c r="E150" s="222">
        <v>1</v>
      </c>
      <c r="F150" s="114">
        <v>1.35</v>
      </c>
      <c r="G150" s="122">
        <f t="shared" ref="G150:G152" si="15">ROUND(F150*E150,2)</f>
        <v>1.35</v>
      </c>
    </row>
    <row r="151" spans="1:7" ht="25.5">
      <c r="A151" s="108" t="s">
        <v>31</v>
      </c>
      <c r="B151" s="108">
        <v>88267</v>
      </c>
      <c r="C151" s="111" t="s">
        <v>591</v>
      </c>
      <c r="D151" s="112" t="s">
        <v>394</v>
      </c>
      <c r="E151" s="113">
        <v>0.13</v>
      </c>
      <c r="F151" s="120">
        <v>22.11</v>
      </c>
      <c r="G151" s="122">
        <f t="shared" si="15"/>
        <v>2.87</v>
      </c>
    </row>
    <row r="152" spans="1:7" ht="25.5">
      <c r="A152" s="115" t="s">
        <v>31</v>
      </c>
      <c r="B152" s="115">
        <v>88248</v>
      </c>
      <c r="C152" s="118" t="s">
        <v>592</v>
      </c>
      <c r="D152" s="115" t="s">
        <v>394</v>
      </c>
      <c r="E152" s="119">
        <v>0.13</v>
      </c>
      <c r="F152" s="121">
        <v>17.809999999999999</v>
      </c>
      <c r="G152" s="114">
        <f t="shared" si="15"/>
        <v>2.3199999999999998</v>
      </c>
    </row>
    <row r="155" spans="1:7">
      <c r="A155" s="347" t="s">
        <v>22</v>
      </c>
      <c r="B155" s="347"/>
      <c r="C155" s="217" t="s">
        <v>382</v>
      </c>
      <c r="D155" s="217" t="s">
        <v>383</v>
      </c>
      <c r="E155" s="347" t="s">
        <v>23</v>
      </c>
      <c r="F155" s="347"/>
      <c r="G155" s="217" t="s">
        <v>384</v>
      </c>
    </row>
    <row r="156" spans="1:7">
      <c r="A156" s="348">
        <v>17</v>
      </c>
      <c r="B156" s="349"/>
      <c r="C156" s="219" t="s">
        <v>558</v>
      </c>
      <c r="D156" s="112" t="s">
        <v>282</v>
      </c>
      <c r="E156" s="350" t="s">
        <v>397</v>
      </c>
      <c r="F156" s="351"/>
      <c r="G156" s="107">
        <f>SUM(G158:G160)</f>
        <v>17.690000000000001</v>
      </c>
    </row>
    <row r="157" spans="1:7" ht="25.5">
      <c r="A157" s="104" t="s">
        <v>23</v>
      </c>
      <c r="B157" s="104" t="s">
        <v>22</v>
      </c>
      <c r="C157" s="104" t="s">
        <v>385</v>
      </c>
      <c r="D157" s="104" t="s">
        <v>383</v>
      </c>
      <c r="E157" s="104" t="s">
        <v>386</v>
      </c>
      <c r="F157" s="104" t="s">
        <v>387</v>
      </c>
      <c r="G157" s="104" t="s">
        <v>388</v>
      </c>
    </row>
    <row r="158" spans="1:7">
      <c r="A158" s="108" t="s">
        <v>399</v>
      </c>
      <c r="B158" s="108" t="s">
        <v>398</v>
      </c>
      <c r="C158" s="219" t="s">
        <v>558</v>
      </c>
      <c r="D158" s="112" t="s">
        <v>282</v>
      </c>
      <c r="E158" s="222">
        <v>1</v>
      </c>
      <c r="F158" s="114">
        <v>12.5</v>
      </c>
      <c r="G158" s="122">
        <f t="shared" ref="G158:G160" si="16">ROUND(F158*E158,2)</f>
        <v>12.5</v>
      </c>
    </row>
    <row r="159" spans="1:7" ht="25.5">
      <c r="A159" s="108" t="s">
        <v>31</v>
      </c>
      <c r="B159" s="108">
        <v>88267</v>
      </c>
      <c r="C159" s="111" t="s">
        <v>591</v>
      </c>
      <c r="D159" s="112" t="s">
        <v>394</v>
      </c>
      <c r="E159" s="113">
        <v>0.13</v>
      </c>
      <c r="F159" s="120">
        <v>22.11</v>
      </c>
      <c r="G159" s="122">
        <f t="shared" si="16"/>
        <v>2.87</v>
      </c>
    </row>
    <row r="160" spans="1:7" ht="25.5">
      <c r="A160" s="115" t="s">
        <v>31</v>
      </c>
      <c r="B160" s="115">
        <v>88248</v>
      </c>
      <c r="C160" s="118" t="s">
        <v>592</v>
      </c>
      <c r="D160" s="115" t="s">
        <v>394</v>
      </c>
      <c r="E160" s="119">
        <v>0.13</v>
      </c>
      <c r="F160" s="121">
        <v>17.809999999999999</v>
      </c>
      <c r="G160" s="114">
        <f t="shared" si="16"/>
        <v>2.3199999999999998</v>
      </c>
    </row>
    <row r="163" spans="1:7">
      <c r="A163" s="347" t="s">
        <v>22</v>
      </c>
      <c r="B163" s="347"/>
      <c r="C163" s="217" t="s">
        <v>382</v>
      </c>
      <c r="D163" s="217" t="s">
        <v>383</v>
      </c>
      <c r="E163" s="347" t="s">
        <v>23</v>
      </c>
      <c r="F163" s="347"/>
      <c r="G163" s="217" t="s">
        <v>384</v>
      </c>
    </row>
    <row r="164" spans="1:7" ht="25.5">
      <c r="A164" s="348">
        <v>18</v>
      </c>
      <c r="B164" s="349"/>
      <c r="C164" s="219" t="s">
        <v>560</v>
      </c>
      <c r="D164" s="112" t="s">
        <v>282</v>
      </c>
      <c r="E164" s="350" t="s">
        <v>397</v>
      </c>
      <c r="F164" s="351"/>
      <c r="G164" s="107">
        <f>SUM(G166:G168)</f>
        <v>8.19</v>
      </c>
    </row>
    <row r="165" spans="1:7" ht="25.5">
      <c r="A165" s="104" t="s">
        <v>23</v>
      </c>
      <c r="B165" s="104" t="s">
        <v>22</v>
      </c>
      <c r="C165" s="104" t="s">
        <v>385</v>
      </c>
      <c r="D165" s="104" t="s">
        <v>383</v>
      </c>
      <c r="E165" s="104" t="s">
        <v>386</v>
      </c>
      <c r="F165" s="104" t="s">
        <v>387</v>
      </c>
      <c r="G165" s="104" t="s">
        <v>388</v>
      </c>
    </row>
    <row r="166" spans="1:7" ht="25.5">
      <c r="A166" s="108" t="s">
        <v>399</v>
      </c>
      <c r="B166" s="108" t="s">
        <v>398</v>
      </c>
      <c r="C166" s="219" t="s">
        <v>560</v>
      </c>
      <c r="D166" s="112" t="s">
        <v>282</v>
      </c>
      <c r="E166" s="222">
        <v>1</v>
      </c>
      <c r="F166" s="114">
        <v>3</v>
      </c>
      <c r="G166" s="122">
        <f t="shared" ref="G166:G168" si="17">ROUND(F166*E166,2)</f>
        <v>3</v>
      </c>
    </row>
    <row r="167" spans="1:7" ht="25.5">
      <c r="A167" s="108" t="s">
        <v>31</v>
      </c>
      <c r="B167" s="108">
        <v>88267</v>
      </c>
      <c r="C167" s="111" t="s">
        <v>591</v>
      </c>
      <c r="D167" s="112" t="s">
        <v>394</v>
      </c>
      <c r="E167" s="113">
        <v>0.13</v>
      </c>
      <c r="F167" s="120">
        <v>22.11</v>
      </c>
      <c r="G167" s="122">
        <f t="shared" si="17"/>
        <v>2.87</v>
      </c>
    </row>
    <row r="168" spans="1:7" ht="25.5">
      <c r="A168" s="115" t="s">
        <v>31</v>
      </c>
      <c r="B168" s="115">
        <v>88248</v>
      </c>
      <c r="C168" s="118" t="s">
        <v>592</v>
      </c>
      <c r="D168" s="115" t="s">
        <v>394</v>
      </c>
      <c r="E168" s="119">
        <v>0.13</v>
      </c>
      <c r="F168" s="121">
        <v>17.809999999999999</v>
      </c>
      <c r="G168" s="114">
        <f t="shared" si="17"/>
        <v>2.3199999999999998</v>
      </c>
    </row>
    <row r="171" spans="1:7">
      <c r="A171" s="347" t="s">
        <v>22</v>
      </c>
      <c r="B171" s="347"/>
      <c r="C171" s="217" t="s">
        <v>382</v>
      </c>
      <c r="D171" s="217" t="s">
        <v>383</v>
      </c>
      <c r="E171" s="347" t="s">
        <v>23</v>
      </c>
      <c r="F171" s="347"/>
      <c r="G171" s="217" t="s">
        <v>384</v>
      </c>
    </row>
    <row r="172" spans="1:7">
      <c r="A172" s="348">
        <v>19</v>
      </c>
      <c r="B172" s="349"/>
      <c r="C172" s="219" t="s">
        <v>600</v>
      </c>
      <c r="D172" s="112" t="s">
        <v>282</v>
      </c>
      <c r="E172" s="350" t="s">
        <v>397</v>
      </c>
      <c r="F172" s="351"/>
      <c r="G172" s="107">
        <f>SUM(G174:G176)</f>
        <v>272.97000000000003</v>
      </c>
    </row>
    <row r="173" spans="1:7" ht="25.5">
      <c r="A173" s="104" t="s">
        <v>23</v>
      </c>
      <c r="B173" s="104" t="s">
        <v>22</v>
      </c>
      <c r="C173" s="104" t="s">
        <v>385</v>
      </c>
      <c r="D173" s="104" t="s">
        <v>383</v>
      </c>
      <c r="E173" s="104" t="s">
        <v>386</v>
      </c>
      <c r="F173" s="104" t="s">
        <v>387</v>
      </c>
      <c r="G173" s="104" t="s">
        <v>388</v>
      </c>
    </row>
    <row r="174" spans="1:7">
      <c r="A174" s="108" t="s">
        <v>399</v>
      </c>
      <c r="B174" s="108" t="s">
        <v>398</v>
      </c>
      <c r="C174" s="219" t="s">
        <v>601</v>
      </c>
      <c r="D174" s="112" t="s">
        <v>282</v>
      </c>
      <c r="E174" s="222">
        <v>1</v>
      </c>
      <c r="F174" s="114">
        <v>233.05</v>
      </c>
      <c r="G174" s="122">
        <f t="shared" ref="G174:G176" si="18">ROUND(F174*E174,2)</f>
        <v>233.05</v>
      </c>
    </row>
    <row r="175" spans="1:7" ht="25.5">
      <c r="A175" s="108" t="s">
        <v>31</v>
      </c>
      <c r="B175" s="108">
        <v>88267</v>
      </c>
      <c r="C175" s="111" t="s">
        <v>591</v>
      </c>
      <c r="D175" s="112" t="s">
        <v>394</v>
      </c>
      <c r="E175" s="113">
        <v>1</v>
      </c>
      <c r="F175" s="120">
        <v>22.11</v>
      </c>
      <c r="G175" s="122">
        <f t="shared" si="18"/>
        <v>22.11</v>
      </c>
    </row>
    <row r="176" spans="1:7" ht="25.5">
      <c r="A176" s="115" t="s">
        <v>31</v>
      </c>
      <c r="B176" s="115">
        <v>88248</v>
      </c>
      <c r="C176" s="118" t="s">
        <v>592</v>
      </c>
      <c r="D176" s="115" t="s">
        <v>394</v>
      </c>
      <c r="E176" s="119">
        <v>1</v>
      </c>
      <c r="F176" s="121">
        <v>17.809999999999999</v>
      </c>
      <c r="G176" s="114">
        <f t="shared" si="18"/>
        <v>17.809999999999999</v>
      </c>
    </row>
    <row r="178" spans="1:4">
      <c r="A178" s="294" t="s">
        <v>629</v>
      </c>
      <c r="B178" s="294"/>
      <c r="C178" s="294"/>
      <c r="D178" s="294"/>
    </row>
    <row r="179" spans="1:4">
      <c r="A179" s="224"/>
      <c r="B179" s="224"/>
      <c r="C179" s="224"/>
      <c r="D179" s="224"/>
    </row>
    <row r="180" spans="1:4">
      <c r="A180" s="224"/>
      <c r="B180" s="224"/>
      <c r="C180" s="224"/>
      <c r="D180" s="224"/>
    </row>
    <row r="181" spans="1:4">
      <c r="A181" s="10"/>
      <c r="B181" s="10"/>
      <c r="C181" s="10"/>
      <c r="D181" s="47"/>
    </row>
    <row r="182" spans="1:4">
      <c r="A182" s="90"/>
      <c r="B182" s="10"/>
      <c r="C182" s="80" t="s">
        <v>614</v>
      </c>
      <c r="D182" s="47"/>
    </row>
    <row r="183" spans="1:4">
      <c r="A183" s="10"/>
      <c r="B183" s="10"/>
      <c r="C183" s="223" t="s">
        <v>615</v>
      </c>
      <c r="D183" s="47"/>
    </row>
    <row r="184" spans="1:4">
      <c r="A184" s="10"/>
      <c r="B184" s="10"/>
      <c r="C184" s="80" t="s">
        <v>616</v>
      </c>
    </row>
    <row r="185" spans="1:4">
      <c r="A185" s="10"/>
      <c r="B185" s="10"/>
      <c r="C185" s="80" t="s">
        <v>617</v>
      </c>
    </row>
    <row r="186" spans="1:4">
      <c r="A186" s="10"/>
      <c r="B186" s="10"/>
      <c r="C186" s="10"/>
    </row>
    <row r="187" spans="1:4">
      <c r="A187" s="10"/>
      <c r="B187" s="10"/>
      <c r="C187" s="10"/>
    </row>
  </sheetData>
  <mergeCells count="92">
    <mergeCell ref="A171:B171"/>
    <mergeCell ref="E171:F171"/>
    <mergeCell ref="A172:B172"/>
    <mergeCell ref="E172:F172"/>
    <mergeCell ref="A178:D178"/>
    <mergeCell ref="A164:B164"/>
    <mergeCell ref="E164:F164"/>
    <mergeCell ref="A147:B147"/>
    <mergeCell ref="E147:F147"/>
    <mergeCell ref="A148:B148"/>
    <mergeCell ref="E148:F148"/>
    <mergeCell ref="A155:B155"/>
    <mergeCell ref="E155:F155"/>
    <mergeCell ref="A156:B156"/>
    <mergeCell ref="E156:F156"/>
    <mergeCell ref="A163:B163"/>
    <mergeCell ref="E163:F163"/>
    <mergeCell ref="A140:B140"/>
    <mergeCell ref="E140:F140"/>
    <mergeCell ref="A117:B117"/>
    <mergeCell ref="E117:F117"/>
    <mergeCell ref="A118:B118"/>
    <mergeCell ref="E118:F118"/>
    <mergeCell ref="A128:B128"/>
    <mergeCell ref="E128:F128"/>
    <mergeCell ref="A129:B129"/>
    <mergeCell ref="E129:F129"/>
    <mergeCell ref="A139:B139"/>
    <mergeCell ref="E139:F139"/>
    <mergeCell ref="A96:B96"/>
    <mergeCell ref="E96:F96"/>
    <mergeCell ref="A106:B106"/>
    <mergeCell ref="E106:F106"/>
    <mergeCell ref="A107:B107"/>
    <mergeCell ref="E107:F107"/>
    <mergeCell ref="A84:B84"/>
    <mergeCell ref="E84:F84"/>
    <mergeCell ref="A85:B85"/>
    <mergeCell ref="E85:F85"/>
    <mergeCell ref="A95:B95"/>
    <mergeCell ref="E95:F95"/>
    <mergeCell ref="A73:B73"/>
    <mergeCell ref="E73:F73"/>
    <mergeCell ref="A74:B74"/>
    <mergeCell ref="E74:F74"/>
    <mergeCell ref="A66:B66"/>
    <mergeCell ref="E66:F66"/>
    <mergeCell ref="A67:B67"/>
    <mergeCell ref="E67:F67"/>
    <mergeCell ref="A71:G72"/>
    <mergeCell ref="A58:B58"/>
    <mergeCell ref="E58:F58"/>
    <mergeCell ref="A59:B59"/>
    <mergeCell ref="E59:F59"/>
    <mergeCell ref="A64:G65"/>
    <mergeCell ref="A51:B51"/>
    <mergeCell ref="E51:F51"/>
    <mergeCell ref="A40:G41"/>
    <mergeCell ref="A48:G49"/>
    <mergeCell ref="A56:G57"/>
    <mergeCell ref="A42:B42"/>
    <mergeCell ref="E42:F42"/>
    <mergeCell ref="A43:B43"/>
    <mergeCell ref="E43:F43"/>
    <mergeCell ref="A50:B50"/>
    <mergeCell ref="E50:F50"/>
    <mergeCell ref="A8:B8"/>
    <mergeCell ref="C8:F8"/>
    <mergeCell ref="A32:G33"/>
    <mergeCell ref="A16:G17"/>
    <mergeCell ref="A24:G25"/>
    <mergeCell ref="A10:B10"/>
    <mergeCell ref="E10:F10"/>
    <mergeCell ref="A11:B11"/>
    <mergeCell ref="E11:F11"/>
    <mergeCell ref="A18:B18"/>
    <mergeCell ref="E18:F18"/>
    <mergeCell ref="A1:G4"/>
    <mergeCell ref="A6:B6"/>
    <mergeCell ref="C6:F6"/>
    <mergeCell ref="A7:B7"/>
    <mergeCell ref="C7:F7"/>
    <mergeCell ref="A34:B34"/>
    <mergeCell ref="E34:F34"/>
    <mergeCell ref="A35:B35"/>
    <mergeCell ref="E35:F35"/>
    <mergeCell ref="A19:B19"/>
    <mergeCell ref="E19:F19"/>
    <mergeCell ref="A26:B26"/>
    <mergeCell ref="E26:F26"/>
    <mergeCell ref="A27:B27"/>
    <mergeCell ref="E27:F27"/>
  </mergeCells>
  <pageMargins left="0.51181102362204722" right="0.51181102362204722" top="1.5748031496062993" bottom="0.98425196850393704" header="0.31496062992125984" footer="0.31496062992125984"/>
  <pageSetup paperSize="9" scale="79" fitToHeight="0" orientation="portrait" r:id="rId1"/>
  <headerFooter>
    <oddHeader>&amp;C&amp;G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Q55"/>
  <sheetViews>
    <sheetView topLeftCell="A10" zoomScale="90" zoomScaleNormal="90" workbookViewId="0">
      <selection activeCell="C52" sqref="C52:E52"/>
    </sheetView>
  </sheetViews>
  <sheetFormatPr defaultRowHeight="12.75"/>
  <cols>
    <col min="1" max="1" width="5.625" style="123" customWidth="1"/>
    <col min="2" max="2" width="28.625" style="123" customWidth="1"/>
    <col min="3" max="3" width="13.25" style="195" customWidth="1"/>
    <col min="4" max="4" width="8" style="123" customWidth="1"/>
    <col min="5" max="5" width="12.125" style="123" customWidth="1"/>
    <col min="6" max="6" width="9" style="123"/>
    <col min="7" max="7" width="13.125" style="123" bestFit="1" customWidth="1"/>
    <col min="8" max="8" width="9.5" style="123" bestFit="1" customWidth="1"/>
    <col min="9" max="9" width="13" style="123" customWidth="1"/>
    <col min="10" max="10" width="9.5" style="123" bestFit="1" customWidth="1"/>
    <col min="11" max="11" width="12.5" style="123" customWidth="1"/>
    <col min="12" max="12" width="9.5" style="123" bestFit="1" customWidth="1"/>
    <col min="13" max="13" width="13.125" style="123" bestFit="1" customWidth="1"/>
    <col min="14" max="14" width="9.5" style="123" bestFit="1" customWidth="1"/>
    <col min="15" max="15" width="12" style="123" bestFit="1" customWidth="1"/>
    <col min="16" max="16" width="9.5" style="123" bestFit="1" customWidth="1"/>
    <col min="17" max="16384" width="9" style="123"/>
  </cols>
  <sheetData>
    <row r="1" spans="1:17" ht="18">
      <c r="A1" s="373" t="s">
        <v>401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5"/>
    </row>
    <row r="2" spans="1:17">
      <c r="A2" s="124"/>
      <c r="B2" s="124"/>
      <c r="C2" s="125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7">
      <c r="A3" s="126" t="s">
        <v>402</v>
      </c>
      <c r="B3" s="127"/>
      <c r="C3" s="128"/>
      <c r="D3" s="127"/>
      <c r="E3" s="127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30"/>
    </row>
    <row r="4" spans="1:17">
      <c r="A4" s="131" t="s">
        <v>427</v>
      </c>
      <c r="B4" s="132"/>
      <c r="C4" s="133"/>
      <c r="D4" s="132"/>
      <c r="E4" s="132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5"/>
    </row>
    <row r="5" spans="1:17">
      <c r="A5" s="136" t="s">
        <v>428</v>
      </c>
      <c r="B5" s="137"/>
      <c r="C5" s="138"/>
      <c r="D5" s="137"/>
      <c r="E5" s="137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5"/>
    </row>
    <row r="6" spans="1:17" ht="13.5" thickBot="1">
      <c r="A6" s="124"/>
      <c r="B6" s="140"/>
      <c r="C6" s="125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</row>
    <row r="7" spans="1:17">
      <c r="A7" s="376" t="s">
        <v>21</v>
      </c>
      <c r="B7" s="378" t="s">
        <v>24</v>
      </c>
      <c r="C7" s="380" t="s">
        <v>403</v>
      </c>
      <c r="D7" s="382" t="s">
        <v>404</v>
      </c>
      <c r="E7" s="383" t="s">
        <v>405</v>
      </c>
      <c r="F7" s="384"/>
      <c r="G7" s="383" t="s">
        <v>406</v>
      </c>
      <c r="H7" s="384"/>
      <c r="I7" s="383" t="s">
        <v>407</v>
      </c>
      <c r="J7" s="384"/>
      <c r="K7" s="383" t="s">
        <v>408</v>
      </c>
      <c r="L7" s="384"/>
      <c r="M7" s="383" t="s">
        <v>409</v>
      </c>
      <c r="N7" s="384"/>
      <c r="O7" s="383" t="s">
        <v>410</v>
      </c>
      <c r="P7" s="384"/>
    </row>
    <row r="8" spans="1:17">
      <c r="A8" s="377"/>
      <c r="B8" s="379"/>
      <c r="C8" s="381"/>
      <c r="D8" s="379"/>
      <c r="E8" s="141" t="s">
        <v>26</v>
      </c>
      <c r="F8" s="142" t="s">
        <v>404</v>
      </c>
      <c r="G8" s="141" t="s">
        <v>26</v>
      </c>
      <c r="H8" s="142" t="s">
        <v>404</v>
      </c>
      <c r="I8" s="141" t="s">
        <v>26</v>
      </c>
      <c r="J8" s="142" t="s">
        <v>404</v>
      </c>
      <c r="K8" s="141" t="s">
        <v>26</v>
      </c>
      <c r="L8" s="142" t="s">
        <v>404</v>
      </c>
      <c r="M8" s="141" t="s">
        <v>26</v>
      </c>
      <c r="N8" s="142" t="s">
        <v>404</v>
      </c>
      <c r="O8" s="141" t="s">
        <v>26</v>
      </c>
      <c r="P8" s="142" t="s">
        <v>404</v>
      </c>
    </row>
    <row r="9" spans="1:17">
      <c r="A9" s="143" t="s">
        <v>411</v>
      </c>
      <c r="B9" s="144" t="str">
        <f>Planilha!D12</f>
        <v xml:space="preserve">SERVIÇOS PRELIMINARES </v>
      </c>
      <c r="C9" s="145">
        <f>Planilha!I12</f>
        <v>5029.55</v>
      </c>
      <c r="D9" s="146">
        <f>(C9/$C$25)*100</f>
        <v>1.9706546791034589</v>
      </c>
      <c r="E9" s="147">
        <f>(F9/100)*C9</f>
        <v>5029.55</v>
      </c>
      <c r="F9" s="148">
        <v>100</v>
      </c>
      <c r="G9" s="149"/>
      <c r="H9" s="148"/>
      <c r="I9" s="149"/>
      <c r="J9" s="150"/>
      <c r="K9" s="149"/>
      <c r="L9" s="150"/>
      <c r="M9" s="149"/>
      <c r="N9" s="151"/>
      <c r="O9" s="149"/>
      <c r="P9" s="152"/>
    </row>
    <row r="10" spans="1:17">
      <c r="A10" s="153" t="s">
        <v>412</v>
      </c>
      <c r="B10" s="154" t="str">
        <f>Planilha!D24</f>
        <v>FUNDAÇÃO</v>
      </c>
      <c r="C10" s="155">
        <f>Planilha!I24</f>
        <v>20872.189999999999</v>
      </c>
      <c r="D10" s="198">
        <f t="shared" ref="D10:D24" si="0">(C10/$C$25)*100</f>
        <v>8.1780435400058504</v>
      </c>
      <c r="E10" s="156">
        <f t="shared" ref="E10:E11" si="1">(F10/100)*C10</f>
        <v>20872.189999999999</v>
      </c>
      <c r="F10" s="148">
        <v>100</v>
      </c>
      <c r="G10" s="157"/>
      <c r="H10" s="148"/>
      <c r="I10" s="157"/>
      <c r="J10" s="148"/>
      <c r="K10" s="157"/>
      <c r="L10" s="148"/>
      <c r="M10" s="157"/>
      <c r="N10" s="158"/>
      <c r="O10" s="157"/>
      <c r="P10" s="159"/>
    </row>
    <row r="11" spans="1:17">
      <c r="A11" s="153" t="s">
        <v>413</v>
      </c>
      <c r="B11" s="160" t="str">
        <f>Planilha!D40</f>
        <v xml:space="preserve">SUPERESTRUTURA </v>
      </c>
      <c r="C11" s="155">
        <f>Planilha!I40</f>
        <v>27868.7</v>
      </c>
      <c r="D11" s="198">
        <f t="shared" si="0"/>
        <v>10.919383256062783</v>
      </c>
      <c r="E11" s="156">
        <f t="shared" si="1"/>
        <v>6967.1750000000002</v>
      </c>
      <c r="F11" s="148">
        <v>25</v>
      </c>
      <c r="G11" s="157">
        <f t="shared" ref="G11:G18" si="2">(H11/100)*C11</f>
        <v>20901.525000000001</v>
      </c>
      <c r="H11" s="148">
        <v>75</v>
      </c>
      <c r="I11" s="157"/>
      <c r="J11" s="148"/>
      <c r="K11" s="157"/>
      <c r="L11" s="148"/>
      <c r="M11" s="157"/>
      <c r="N11" s="161"/>
      <c r="O11" s="157"/>
      <c r="P11" s="159"/>
    </row>
    <row r="12" spans="1:17">
      <c r="A12" s="153" t="s">
        <v>414</v>
      </c>
      <c r="B12" s="162" t="str">
        <f>Planilha!D56</f>
        <v xml:space="preserve">PAREDES E PAINEIS </v>
      </c>
      <c r="C12" s="155">
        <f>Planilha!I56</f>
        <v>22182.09</v>
      </c>
      <c r="D12" s="197">
        <f t="shared" si="0"/>
        <v>8.6912824111091549</v>
      </c>
      <c r="E12" s="156"/>
      <c r="F12" s="148"/>
      <c r="G12" s="157">
        <f t="shared" si="2"/>
        <v>22182.09</v>
      </c>
      <c r="H12" s="148">
        <v>100</v>
      </c>
      <c r="I12" s="157"/>
      <c r="J12" s="148"/>
      <c r="K12" s="157"/>
      <c r="L12" s="148"/>
      <c r="M12" s="157"/>
      <c r="N12" s="161"/>
      <c r="O12" s="157"/>
      <c r="P12" s="159"/>
    </row>
    <row r="13" spans="1:17">
      <c r="A13" s="163" t="s">
        <v>415</v>
      </c>
      <c r="B13" s="162" t="str">
        <f>Planilha!D61</f>
        <v xml:space="preserve">ESQUADRIAS </v>
      </c>
      <c r="C13" s="155">
        <f>Planilha!I61</f>
        <v>21186.400000000001</v>
      </c>
      <c r="D13" s="198">
        <f t="shared" si="0"/>
        <v>8.3011558277296249</v>
      </c>
      <c r="E13" s="156"/>
      <c r="F13" s="148"/>
      <c r="G13" s="157"/>
      <c r="H13" s="148"/>
      <c r="I13" s="157">
        <f t="shared" ref="I13:I20" si="3">(J13/100)*C13</f>
        <v>21186.400000000001</v>
      </c>
      <c r="J13" s="148">
        <v>100</v>
      </c>
      <c r="K13" s="157"/>
      <c r="L13" s="148"/>
      <c r="M13" s="157"/>
      <c r="N13" s="161"/>
      <c r="O13" s="157"/>
      <c r="P13" s="159"/>
    </row>
    <row r="14" spans="1:17">
      <c r="A14" s="163" t="s">
        <v>416</v>
      </c>
      <c r="B14" s="164" t="str">
        <f>Planilha!D68</f>
        <v xml:space="preserve">COBERTURA </v>
      </c>
      <c r="C14" s="165">
        <f>Planilha!I68</f>
        <v>15421.94</v>
      </c>
      <c r="D14" s="197">
        <f t="shared" si="0"/>
        <v>6.0425521610984685</v>
      </c>
      <c r="E14" s="156"/>
      <c r="F14" s="148"/>
      <c r="G14" s="157"/>
      <c r="H14" s="148"/>
      <c r="I14" s="157">
        <f t="shared" si="3"/>
        <v>15421.94</v>
      </c>
      <c r="J14" s="166">
        <v>100</v>
      </c>
      <c r="K14" s="157"/>
      <c r="L14" s="166"/>
      <c r="M14" s="157"/>
      <c r="N14" s="167"/>
      <c r="O14" s="157"/>
      <c r="P14" s="168"/>
    </row>
    <row r="15" spans="1:17">
      <c r="A15" s="169" t="s">
        <v>417</v>
      </c>
      <c r="B15" s="170" t="str">
        <f>Planilha!D72</f>
        <v>REVESTIMENTO</v>
      </c>
      <c r="C15" s="165">
        <f>Planilha!I72</f>
        <v>40106.42</v>
      </c>
      <c r="D15" s="199">
        <f t="shared" si="0"/>
        <v>15.714309279177769</v>
      </c>
      <c r="E15" s="156"/>
      <c r="F15" s="148"/>
      <c r="G15" s="157"/>
      <c r="H15" s="148"/>
      <c r="I15" s="157">
        <f t="shared" si="3"/>
        <v>10026.605</v>
      </c>
      <c r="J15" s="166">
        <v>25</v>
      </c>
      <c r="K15" s="157">
        <f t="shared" ref="K15:K22" si="4">(L15/100)*C15</f>
        <v>30079.814999999999</v>
      </c>
      <c r="L15" s="166">
        <v>75</v>
      </c>
      <c r="M15" s="157"/>
      <c r="N15" s="167"/>
      <c r="O15" s="157"/>
      <c r="P15" s="166"/>
    </row>
    <row r="16" spans="1:17">
      <c r="A16" s="163" t="s">
        <v>418</v>
      </c>
      <c r="B16" s="164" t="str">
        <f>Planilha!D80</f>
        <v>PRATELEIRAS</v>
      </c>
      <c r="C16" s="165">
        <f>Planilha!I80</f>
        <v>893.62</v>
      </c>
      <c r="D16" s="199">
        <f t="shared" si="0"/>
        <v>0.3501339949578855</v>
      </c>
      <c r="E16" s="156"/>
      <c r="F16" s="148"/>
      <c r="G16" s="157"/>
      <c r="H16" s="148"/>
      <c r="I16" s="157"/>
      <c r="J16" s="166"/>
      <c r="K16" s="157">
        <f t="shared" si="4"/>
        <v>893.62</v>
      </c>
      <c r="L16" s="166">
        <v>100</v>
      </c>
      <c r="M16" s="157"/>
      <c r="N16" s="172"/>
      <c r="O16" s="157"/>
      <c r="P16" s="166"/>
    </row>
    <row r="17" spans="1:16">
      <c r="A17" s="153" t="s">
        <v>419</v>
      </c>
      <c r="B17" s="170" t="str">
        <f>Planilha!D82</f>
        <v>PAVIMENTAÇÃO INTERNA</v>
      </c>
      <c r="C17" s="165">
        <f>Planilha!I82</f>
        <v>4605.74</v>
      </c>
      <c r="D17" s="199">
        <f t="shared" si="0"/>
        <v>1.8045994336936635</v>
      </c>
      <c r="E17" s="156"/>
      <c r="F17" s="148"/>
      <c r="G17" s="157"/>
      <c r="H17" s="148"/>
      <c r="I17" s="157"/>
      <c r="J17" s="166"/>
      <c r="K17" s="157">
        <f t="shared" si="4"/>
        <v>4605.74</v>
      </c>
      <c r="L17" s="166">
        <v>100</v>
      </c>
      <c r="M17" s="157"/>
      <c r="N17" s="167"/>
      <c r="O17" s="157"/>
      <c r="P17" s="166"/>
    </row>
    <row r="18" spans="1:16">
      <c r="A18" s="163" t="s">
        <v>420</v>
      </c>
      <c r="B18" s="171" t="str">
        <f>Planilha!D86</f>
        <v>IMPERMEABILIZAÇÃO</v>
      </c>
      <c r="C18" s="165">
        <f>Planilha!I86</f>
        <v>2346.4499999999998</v>
      </c>
      <c r="D18" s="199">
        <f t="shared" si="0"/>
        <v>0.91937502794132897</v>
      </c>
      <c r="E18" s="156"/>
      <c r="F18" s="148"/>
      <c r="G18" s="157">
        <f t="shared" si="2"/>
        <v>2346.4499999999998</v>
      </c>
      <c r="H18" s="148">
        <v>100</v>
      </c>
      <c r="I18" s="157"/>
      <c r="J18" s="166"/>
      <c r="K18" s="157"/>
      <c r="L18" s="166"/>
      <c r="M18" s="157"/>
      <c r="N18" s="172"/>
      <c r="O18" s="157"/>
      <c r="P18" s="168"/>
    </row>
    <row r="19" spans="1:16">
      <c r="A19" s="163" t="s">
        <v>421</v>
      </c>
      <c r="B19" s="171" t="str">
        <f>Planilha!D88</f>
        <v xml:space="preserve">PINTURA </v>
      </c>
      <c r="C19" s="165">
        <f>Planilha!I88</f>
        <v>20971.749999999996</v>
      </c>
      <c r="D19" s="199">
        <f t="shared" si="0"/>
        <v>8.2170526720060373</v>
      </c>
      <c r="E19" s="156"/>
      <c r="F19" s="148"/>
      <c r="G19" s="157"/>
      <c r="H19" s="148"/>
      <c r="I19" s="157"/>
      <c r="J19" s="166"/>
      <c r="K19" s="157"/>
      <c r="L19" s="166"/>
      <c r="M19" s="157">
        <f t="shared" ref="M19:M22" si="5">(N19/100)*C19</f>
        <v>15728.812499999996</v>
      </c>
      <c r="N19" s="172">
        <v>75</v>
      </c>
      <c r="O19" s="157">
        <f t="shared" ref="O19:O24" si="6">(P19/100)*C19</f>
        <v>5242.9374999999991</v>
      </c>
      <c r="P19" s="168">
        <v>25</v>
      </c>
    </row>
    <row r="20" spans="1:16">
      <c r="A20" s="173" t="s">
        <v>422</v>
      </c>
      <c r="B20" s="174" t="str">
        <f>Planilha!D100</f>
        <v>INSTALAÇÕES HIDROSSANITÁRIAS</v>
      </c>
      <c r="C20" s="175">
        <f>Planilha!I100</f>
        <v>18649.080000000002</v>
      </c>
      <c r="D20" s="199">
        <f t="shared" si="0"/>
        <v>7.3069950120735934</v>
      </c>
      <c r="E20" s="176"/>
      <c r="F20" s="148"/>
      <c r="G20" s="177"/>
      <c r="H20" s="148"/>
      <c r="I20" s="177">
        <f t="shared" si="3"/>
        <v>4662.2700000000004</v>
      </c>
      <c r="J20" s="178">
        <v>25</v>
      </c>
      <c r="K20" s="177">
        <f t="shared" si="4"/>
        <v>13986.810000000001</v>
      </c>
      <c r="L20" s="178">
        <v>75</v>
      </c>
      <c r="M20" s="177"/>
      <c r="N20" s="179"/>
      <c r="O20" s="177"/>
      <c r="P20" s="180"/>
    </row>
    <row r="21" spans="1:16">
      <c r="A21" s="181" t="s">
        <v>423</v>
      </c>
      <c r="B21" s="174" t="str">
        <f>Planilha!D149</f>
        <v xml:space="preserve">LOUÇAS E METAIS </v>
      </c>
      <c r="C21" s="175">
        <f>Planilha!I149</f>
        <v>6332.76</v>
      </c>
      <c r="D21" s="199">
        <f t="shared" si="0"/>
        <v>2.4812723058005628</v>
      </c>
      <c r="E21" s="176"/>
      <c r="F21" s="148"/>
      <c r="G21" s="177"/>
      <c r="H21" s="148"/>
      <c r="I21" s="177"/>
      <c r="J21" s="178"/>
      <c r="K21" s="177"/>
      <c r="L21" s="178"/>
      <c r="M21" s="177">
        <f t="shared" si="5"/>
        <v>6332.76</v>
      </c>
      <c r="N21" s="179">
        <v>100</v>
      </c>
      <c r="O21" s="177"/>
      <c r="P21" s="180"/>
    </row>
    <row r="22" spans="1:16">
      <c r="A22" s="182" t="s">
        <v>424</v>
      </c>
      <c r="B22" s="174" t="str">
        <f>Planilha!D155</f>
        <v>INSTALAÇÕES ELÉTRICAS</v>
      </c>
      <c r="C22" s="175">
        <f>Planilha!I155</f>
        <v>43100.930000000008</v>
      </c>
      <c r="D22" s="199">
        <f t="shared" si="0"/>
        <v>16.887604135203084</v>
      </c>
      <c r="E22" s="176"/>
      <c r="F22" s="148"/>
      <c r="G22" s="177"/>
      <c r="H22" s="148"/>
      <c r="I22" s="177"/>
      <c r="J22" s="178"/>
      <c r="K22" s="177">
        <f t="shared" si="4"/>
        <v>21550.465000000004</v>
      </c>
      <c r="L22" s="178">
        <v>50</v>
      </c>
      <c r="M22" s="177">
        <f t="shared" si="5"/>
        <v>21550.465000000004</v>
      </c>
      <c r="N22" s="179">
        <v>50</v>
      </c>
      <c r="O22" s="177"/>
      <c r="P22" s="180"/>
    </row>
    <row r="23" spans="1:16">
      <c r="A23" s="182" t="s">
        <v>425</v>
      </c>
      <c r="B23" s="174" t="str">
        <f>Planilha!D185</f>
        <v>ÁREAS EXTERNAS</v>
      </c>
      <c r="C23" s="175">
        <f>Planilha!I185</f>
        <v>1769.45</v>
      </c>
      <c r="D23" s="199">
        <f t="shared" si="0"/>
        <v>0.69329759559793935</v>
      </c>
      <c r="E23" s="176"/>
      <c r="F23" s="148"/>
      <c r="G23" s="177"/>
      <c r="H23" s="148"/>
      <c r="I23" s="177"/>
      <c r="J23" s="178"/>
      <c r="K23" s="177"/>
      <c r="L23" s="178"/>
      <c r="M23" s="177"/>
      <c r="N23" s="179"/>
      <c r="O23" s="177">
        <f t="shared" si="6"/>
        <v>1769.45</v>
      </c>
      <c r="P23" s="180">
        <v>100</v>
      </c>
    </row>
    <row r="24" spans="1:16">
      <c r="A24" s="183" t="s">
        <v>478</v>
      </c>
      <c r="B24" s="184" t="str">
        <f>Planilha!D189</f>
        <v>SERVIÇOS FINAIS</v>
      </c>
      <c r="C24" s="185">
        <f>Planilha!I189</f>
        <v>3885.22</v>
      </c>
      <c r="D24" s="199">
        <f t="shared" si="0"/>
        <v>1.5222886684387948</v>
      </c>
      <c r="E24" s="176"/>
      <c r="F24" s="148"/>
      <c r="G24" s="177"/>
      <c r="H24" s="148"/>
      <c r="I24" s="177"/>
      <c r="J24" s="178"/>
      <c r="K24" s="177"/>
      <c r="L24" s="178"/>
      <c r="M24" s="177"/>
      <c r="N24" s="179"/>
      <c r="O24" s="177">
        <f t="shared" si="6"/>
        <v>3885.22</v>
      </c>
      <c r="P24" s="180">
        <v>100</v>
      </c>
    </row>
    <row r="25" spans="1:16" ht="13.5" thickBot="1">
      <c r="A25" s="186"/>
      <c r="B25" s="187" t="s">
        <v>426</v>
      </c>
      <c r="C25" s="188">
        <f>SUM(C9:C24)</f>
        <v>255222.29</v>
      </c>
      <c r="D25" s="189">
        <f>(C25/C25)</f>
        <v>1</v>
      </c>
      <c r="E25" s="190">
        <f>SUM(E9:E24)</f>
        <v>32868.915000000001</v>
      </c>
      <c r="F25" s="191">
        <f>SUM(E9:E24)/C25</f>
        <v>0.12878544033125006</v>
      </c>
      <c r="G25" s="192">
        <f>SUM(G9:G24)</f>
        <v>45430.065000000002</v>
      </c>
      <c r="H25" s="193">
        <f>SUM(G9:G24)/C25</f>
        <v>0.17800194881097572</v>
      </c>
      <c r="I25" s="192">
        <f>SUM(I9:I24)</f>
        <v>51297.215000000011</v>
      </c>
      <c r="J25" s="193">
        <f>SUM(I9:I24)/C25</f>
        <v>0.20099034061640936</v>
      </c>
      <c r="K25" s="190">
        <f>SUM(K9:K24)</f>
        <v>71116.450000000012</v>
      </c>
      <c r="L25" s="194">
        <f>SUM(K9:K24)/C25</f>
        <v>0.27864513714691619</v>
      </c>
      <c r="M25" s="192">
        <f>SUM(M9:M24)</f>
        <v>43612.037499999999</v>
      </c>
      <c r="N25" s="194">
        <f>SUM(M9:M24)/C25</f>
        <v>0.17087863877406631</v>
      </c>
      <c r="O25" s="192">
        <f>SUM(O9:O24)</f>
        <v>10897.607499999998</v>
      </c>
      <c r="P25" s="193">
        <f>SUM(O9:O24)/C25</f>
        <v>4.2698494320382432E-2</v>
      </c>
    </row>
    <row r="26" spans="1:16">
      <c r="D26" s="196"/>
    </row>
    <row r="27" spans="1:16" ht="13.5" thickBot="1">
      <c r="B27" s="201"/>
    </row>
    <row r="28" spans="1:16">
      <c r="A28" s="376" t="s">
        <v>21</v>
      </c>
      <c r="B28" s="378" t="s">
        <v>24</v>
      </c>
      <c r="C28" s="380" t="s">
        <v>403</v>
      </c>
      <c r="D28" s="382" t="s">
        <v>404</v>
      </c>
      <c r="E28" s="385" t="s">
        <v>430</v>
      </c>
      <c r="F28" s="386"/>
      <c r="G28" s="385" t="s">
        <v>431</v>
      </c>
      <c r="H28" s="389"/>
    </row>
    <row r="29" spans="1:16">
      <c r="A29" s="377"/>
      <c r="B29" s="379"/>
      <c r="C29" s="381"/>
      <c r="D29" s="379"/>
      <c r="E29" s="387"/>
      <c r="F29" s="388"/>
      <c r="G29" s="390"/>
      <c r="H29" s="391"/>
    </row>
    <row r="30" spans="1:16" ht="14.25">
      <c r="A30" s="143" t="s">
        <v>411</v>
      </c>
      <c r="B30" s="144" t="str">
        <f t="shared" ref="B30:C44" si="7">B9</f>
        <v xml:space="preserve">SERVIÇOS PRELIMINARES </v>
      </c>
      <c r="C30" s="145">
        <f t="shared" si="7"/>
        <v>5029.55</v>
      </c>
      <c r="D30" s="146">
        <f t="shared" ref="D30:D45" si="8">(C30/$C$25)*100</f>
        <v>1.9706546791034589</v>
      </c>
      <c r="E30" s="392">
        <f t="shared" ref="E30" si="9">E9+G9+I9+K9+M9+O9</f>
        <v>5029.55</v>
      </c>
      <c r="F30" s="392"/>
      <c r="G30" s="393">
        <f>F9+H9+J9+L9+N9+P9</f>
        <v>100</v>
      </c>
      <c r="H30" s="394"/>
    </row>
    <row r="31" spans="1:16" ht="14.25">
      <c r="A31" s="153" t="s">
        <v>412</v>
      </c>
      <c r="B31" s="154" t="str">
        <f t="shared" si="7"/>
        <v>FUNDAÇÃO</v>
      </c>
      <c r="C31" s="155">
        <f t="shared" si="7"/>
        <v>20872.189999999999</v>
      </c>
      <c r="D31" s="253">
        <f t="shared" si="8"/>
        <v>8.1780435400058504</v>
      </c>
      <c r="E31" s="395">
        <f t="shared" ref="E31:E45" si="10">E10+G10+I10+K10+M10+O10</f>
        <v>20872.189999999999</v>
      </c>
      <c r="F31" s="395"/>
      <c r="G31" s="396">
        <f>F10+H10+J10+L10+N10+P10</f>
        <v>100</v>
      </c>
      <c r="H31" s="397"/>
    </row>
    <row r="32" spans="1:16" ht="14.25">
      <c r="A32" s="153" t="s">
        <v>413</v>
      </c>
      <c r="B32" s="160" t="str">
        <f t="shared" si="7"/>
        <v xml:space="preserve">SUPERESTRUTURA </v>
      </c>
      <c r="C32" s="155">
        <f t="shared" si="7"/>
        <v>27868.7</v>
      </c>
      <c r="D32" s="253">
        <f t="shared" si="8"/>
        <v>10.919383256062783</v>
      </c>
      <c r="E32" s="395">
        <f t="shared" si="10"/>
        <v>27868.7</v>
      </c>
      <c r="F32" s="395"/>
      <c r="G32" s="398">
        <f t="shared" ref="G32:G44" si="11">F11+H11+J11+L11+N11+P11</f>
        <v>100</v>
      </c>
      <c r="H32" s="399"/>
    </row>
    <row r="33" spans="1:8" ht="14.25">
      <c r="A33" s="153" t="s">
        <v>414</v>
      </c>
      <c r="B33" s="162" t="str">
        <f t="shared" si="7"/>
        <v xml:space="preserve">PAREDES E PAINEIS </v>
      </c>
      <c r="C33" s="155">
        <f t="shared" si="7"/>
        <v>22182.09</v>
      </c>
      <c r="D33" s="197">
        <f t="shared" si="8"/>
        <v>8.6912824111091549</v>
      </c>
      <c r="E33" s="395">
        <f t="shared" si="10"/>
        <v>22182.09</v>
      </c>
      <c r="F33" s="395"/>
      <c r="G33" s="396">
        <f>F12+H12+J12+L12+N12+P12</f>
        <v>100</v>
      </c>
      <c r="H33" s="397"/>
    </row>
    <row r="34" spans="1:8" ht="14.25">
      <c r="A34" s="163" t="s">
        <v>415</v>
      </c>
      <c r="B34" s="162" t="str">
        <f t="shared" si="7"/>
        <v xml:space="preserve">ESQUADRIAS </v>
      </c>
      <c r="C34" s="155">
        <f t="shared" si="7"/>
        <v>21186.400000000001</v>
      </c>
      <c r="D34" s="253">
        <f t="shared" si="8"/>
        <v>8.3011558277296249</v>
      </c>
      <c r="E34" s="395">
        <f t="shared" si="10"/>
        <v>21186.400000000001</v>
      </c>
      <c r="F34" s="395"/>
      <c r="G34" s="400">
        <f t="shared" si="11"/>
        <v>100</v>
      </c>
      <c r="H34" s="401"/>
    </row>
    <row r="35" spans="1:8" ht="14.25">
      <c r="A35" s="163" t="s">
        <v>416</v>
      </c>
      <c r="B35" s="164" t="str">
        <f t="shared" si="7"/>
        <v xml:space="preserve">COBERTURA </v>
      </c>
      <c r="C35" s="165">
        <f t="shared" si="7"/>
        <v>15421.94</v>
      </c>
      <c r="D35" s="197">
        <f t="shared" si="8"/>
        <v>6.0425521610984685</v>
      </c>
      <c r="E35" s="395">
        <f t="shared" si="10"/>
        <v>15421.94</v>
      </c>
      <c r="F35" s="395"/>
      <c r="G35" s="396">
        <f t="shared" si="11"/>
        <v>100</v>
      </c>
      <c r="H35" s="397"/>
    </row>
    <row r="36" spans="1:8" ht="14.25">
      <c r="A36" s="169" t="s">
        <v>417</v>
      </c>
      <c r="B36" s="170" t="str">
        <f t="shared" si="7"/>
        <v>REVESTIMENTO</v>
      </c>
      <c r="C36" s="165">
        <f t="shared" si="7"/>
        <v>40106.42</v>
      </c>
      <c r="D36" s="254">
        <f t="shared" si="8"/>
        <v>15.714309279177769</v>
      </c>
      <c r="E36" s="395">
        <f t="shared" si="10"/>
        <v>40106.42</v>
      </c>
      <c r="F36" s="395"/>
      <c r="G36" s="396">
        <f t="shared" si="11"/>
        <v>100</v>
      </c>
      <c r="H36" s="397"/>
    </row>
    <row r="37" spans="1:8" ht="14.25">
      <c r="A37" s="163" t="s">
        <v>418</v>
      </c>
      <c r="B37" s="171" t="str">
        <f t="shared" si="7"/>
        <v>PRATELEIRAS</v>
      </c>
      <c r="C37" s="165">
        <f t="shared" si="7"/>
        <v>893.62</v>
      </c>
      <c r="D37" s="254">
        <f t="shared" si="8"/>
        <v>0.3501339949578855</v>
      </c>
      <c r="E37" s="395">
        <f t="shared" si="10"/>
        <v>893.62</v>
      </c>
      <c r="F37" s="395"/>
      <c r="G37" s="396">
        <f t="shared" si="11"/>
        <v>100</v>
      </c>
      <c r="H37" s="397"/>
    </row>
    <row r="38" spans="1:8" ht="14.25">
      <c r="A38" s="169" t="s">
        <v>419</v>
      </c>
      <c r="B38" s="164" t="str">
        <f t="shared" si="7"/>
        <v>PAVIMENTAÇÃO INTERNA</v>
      </c>
      <c r="C38" s="165">
        <f t="shared" si="7"/>
        <v>4605.74</v>
      </c>
      <c r="D38" s="254">
        <f t="shared" si="8"/>
        <v>1.8045994336936635</v>
      </c>
      <c r="E38" s="395">
        <f t="shared" si="10"/>
        <v>4605.74</v>
      </c>
      <c r="F38" s="395"/>
      <c r="G38" s="396">
        <f t="shared" si="11"/>
        <v>100</v>
      </c>
      <c r="H38" s="397"/>
    </row>
    <row r="39" spans="1:8" ht="14.25">
      <c r="A39" s="153" t="s">
        <v>420</v>
      </c>
      <c r="B39" s="170" t="str">
        <f t="shared" si="7"/>
        <v>IMPERMEABILIZAÇÃO</v>
      </c>
      <c r="C39" s="165">
        <f t="shared" si="7"/>
        <v>2346.4499999999998</v>
      </c>
      <c r="D39" s="254">
        <f t="shared" si="8"/>
        <v>0.91937502794132897</v>
      </c>
      <c r="E39" s="395">
        <f t="shared" si="10"/>
        <v>2346.4499999999998</v>
      </c>
      <c r="F39" s="395"/>
      <c r="G39" s="400">
        <f t="shared" si="11"/>
        <v>100</v>
      </c>
      <c r="H39" s="401"/>
    </row>
    <row r="40" spans="1:8" ht="14.25">
      <c r="A40" s="163" t="s">
        <v>421</v>
      </c>
      <c r="B40" s="171" t="str">
        <f t="shared" si="7"/>
        <v xml:space="preserve">PINTURA </v>
      </c>
      <c r="C40" s="165">
        <f t="shared" si="7"/>
        <v>20971.749999999996</v>
      </c>
      <c r="D40" s="254">
        <f t="shared" si="8"/>
        <v>8.2170526720060373</v>
      </c>
      <c r="E40" s="395">
        <f t="shared" si="10"/>
        <v>20971.749999999996</v>
      </c>
      <c r="F40" s="395"/>
      <c r="G40" s="396">
        <f t="shared" si="11"/>
        <v>100</v>
      </c>
      <c r="H40" s="397"/>
    </row>
    <row r="41" spans="1:8" ht="14.25">
      <c r="A41" s="163" t="s">
        <v>422</v>
      </c>
      <c r="B41" s="171" t="str">
        <f t="shared" si="7"/>
        <v>INSTALAÇÕES HIDROSSANITÁRIAS</v>
      </c>
      <c r="C41" s="165">
        <f t="shared" si="7"/>
        <v>18649.080000000002</v>
      </c>
      <c r="D41" s="254">
        <f t="shared" si="8"/>
        <v>7.3069950120735934</v>
      </c>
      <c r="E41" s="395">
        <f t="shared" si="10"/>
        <v>18649.080000000002</v>
      </c>
      <c r="F41" s="395"/>
      <c r="G41" s="396">
        <f t="shared" si="11"/>
        <v>100</v>
      </c>
      <c r="H41" s="397"/>
    </row>
    <row r="42" spans="1:8" ht="14.25">
      <c r="A42" s="173" t="s">
        <v>423</v>
      </c>
      <c r="B42" s="174" t="str">
        <f t="shared" si="7"/>
        <v xml:space="preserve">LOUÇAS E METAIS </v>
      </c>
      <c r="C42" s="175">
        <f t="shared" si="7"/>
        <v>6332.76</v>
      </c>
      <c r="D42" s="254">
        <f t="shared" si="8"/>
        <v>2.4812723058005628</v>
      </c>
      <c r="E42" s="395">
        <f t="shared" si="10"/>
        <v>6332.76</v>
      </c>
      <c r="F42" s="395"/>
      <c r="G42" s="396">
        <f t="shared" si="11"/>
        <v>100</v>
      </c>
      <c r="H42" s="397"/>
    </row>
    <row r="43" spans="1:8" ht="14.25">
      <c r="A43" s="181" t="s">
        <v>424</v>
      </c>
      <c r="B43" s="174" t="str">
        <f t="shared" si="7"/>
        <v>INSTALAÇÕES ELÉTRICAS</v>
      </c>
      <c r="C43" s="175">
        <f t="shared" si="7"/>
        <v>43100.930000000008</v>
      </c>
      <c r="D43" s="254">
        <f t="shared" si="8"/>
        <v>16.887604135203084</v>
      </c>
      <c r="E43" s="395">
        <f t="shared" si="10"/>
        <v>43100.930000000008</v>
      </c>
      <c r="F43" s="395"/>
      <c r="G43" s="396">
        <f t="shared" si="11"/>
        <v>100</v>
      </c>
      <c r="H43" s="397"/>
    </row>
    <row r="44" spans="1:8" ht="14.25">
      <c r="A44" s="182" t="s">
        <v>425</v>
      </c>
      <c r="B44" s="211" t="str">
        <f t="shared" si="7"/>
        <v>ÁREAS EXTERNAS</v>
      </c>
      <c r="C44" s="175">
        <f t="shared" si="7"/>
        <v>1769.45</v>
      </c>
      <c r="D44" s="254">
        <f t="shared" si="8"/>
        <v>0.69329759559793935</v>
      </c>
      <c r="E44" s="395">
        <f t="shared" si="10"/>
        <v>1769.45</v>
      </c>
      <c r="F44" s="395"/>
      <c r="G44" s="400">
        <f t="shared" si="11"/>
        <v>100</v>
      </c>
      <c r="H44" s="401"/>
    </row>
    <row r="45" spans="1:8" ht="14.25">
      <c r="A45" s="183" t="s">
        <v>478</v>
      </c>
      <c r="B45" s="209" t="str">
        <f>B24</f>
        <v>SERVIÇOS FINAIS</v>
      </c>
      <c r="C45" s="210">
        <f>C24</f>
        <v>3885.22</v>
      </c>
      <c r="D45" s="255">
        <f t="shared" si="8"/>
        <v>1.5222886684387948</v>
      </c>
      <c r="E45" s="406">
        <f t="shared" si="10"/>
        <v>3885.22</v>
      </c>
      <c r="F45" s="406"/>
      <c r="G45" s="400">
        <f t="shared" ref="G45" si="12">F24+H24+J24+L24+N24+P24</f>
        <v>100</v>
      </c>
      <c r="H45" s="401"/>
    </row>
    <row r="46" spans="1:8" ht="15.75" thickBot="1">
      <c r="A46" s="186"/>
      <c r="B46" s="187" t="s">
        <v>426</v>
      </c>
      <c r="C46" s="188">
        <f>SUM(C30:C45)</f>
        <v>255222.29</v>
      </c>
      <c r="D46" s="200">
        <f>(C46/C46)</f>
        <v>1</v>
      </c>
      <c r="E46" s="402">
        <f>SUM(E30:E45)</f>
        <v>255222.29</v>
      </c>
      <c r="F46" s="403"/>
      <c r="G46" s="404">
        <f>(SUM(G30:H45))/16</f>
        <v>100</v>
      </c>
      <c r="H46" s="405"/>
    </row>
    <row r="48" spans="1:8" ht="14.25">
      <c r="A48" s="294" t="s">
        <v>629</v>
      </c>
      <c r="B48" s="294"/>
      <c r="C48" s="294"/>
      <c r="D48" s="294"/>
    </row>
    <row r="49" spans="1:6">
      <c r="A49" s="10"/>
      <c r="B49" s="10"/>
      <c r="C49" s="10"/>
      <c r="D49" s="47"/>
    </row>
    <row r="50" spans="1:6">
      <c r="A50" s="90"/>
      <c r="B50" s="10"/>
      <c r="C50" s="10"/>
      <c r="D50" s="47"/>
    </row>
    <row r="51" spans="1:6">
      <c r="A51" s="10"/>
      <c r="B51" s="10"/>
      <c r="C51" s="10"/>
      <c r="D51" s="47"/>
    </row>
    <row r="52" spans="1:6" ht="12.75" customHeight="1">
      <c r="A52" s="10"/>
      <c r="B52" s="10"/>
      <c r="C52" s="408" t="s">
        <v>614</v>
      </c>
      <c r="D52" s="408"/>
      <c r="E52" s="408"/>
      <c r="F52" s="48"/>
    </row>
    <row r="53" spans="1:6" ht="14.25">
      <c r="A53" s="10"/>
      <c r="B53" s="10"/>
      <c r="C53" s="407" t="s">
        <v>615</v>
      </c>
      <c r="D53" s="407"/>
      <c r="E53" s="407"/>
    </row>
    <row r="54" spans="1:6">
      <c r="A54" s="10"/>
      <c r="B54" s="10"/>
      <c r="C54" s="408" t="s">
        <v>616</v>
      </c>
      <c r="D54" s="408"/>
      <c r="E54" s="408"/>
    </row>
    <row r="55" spans="1:6" ht="14.25">
      <c r="A55" s="10"/>
      <c r="B55" s="10"/>
      <c r="C55" s="407" t="s">
        <v>617</v>
      </c>
      <c r="D55" s="407"/>
      <c r="E55" s="407"/>
    </row>
  </sheetData>
  <mergeCells count="56">
    <mergeCell ref="A48:D48"/>
    <mergeCell ref="C53:E53"/>
    <mergeCell ref="C54:E54"/>
    <mergeCell ref="C55:E55"/>
    <mergeCell ref="C52:E52"/>
    <mergeCell ref="E41:F41"/>
    <mergeCell ref="G41:H41"/>
    <mergeCell ref="E46:F46"/>
    <mergeCell ref="G46:H46"/>
    <mergeCell ref="E42:F42"/>
    <mergeCell ref="G42:H42"/>
    <mergeCell ref="E43:F43"/>
    <mergeCell ref="G43:H43"/>
    <mergeCell ref="E44:F44"/>
    <mergeCell ref="G44:H44"/>
    <mergeCell ref="E45:F45"/>
    <mergeCell ref="G45:H45"/>
    <mergeCell ref="E38:F38"/>
    <mergeCell ref="G38:H38"/>
    <mergeCell ref="E39:F39"/>
    <mergeCell ref="G39:H39"/>
    <mergeCell ref="E40:F40"/>
    <mergeCell ref="G40:H40"/>
    <mergeCell ref="E35:F35"/>
    <mergeCell ref="G35:H35"/>
    <mergeCell ref="E36:F36"/>
    <mergeCell ref="G36:H36"/>
    <mergeCell ref="E37:F37"/>
    <mergeCell ref="G37:H37"/>
    <mergeCell ref="E32:F32"/>
    <mergeCell ref="G32:H32"/>
    <mergeCell ref="E33:F33"/>
    <mergeCell ref="G33:H33"/>
    <mergeCell ref="E34:F34"/>
    <mergeCell ref="G34:H34"/>
    <mergeCell ref="G28:H29"/>
    <mergeCell ref="E30:F30"/>
    <mergeCell ref="G30:H30"/>
    <mergeCell ref="E31:F31"/>
    <mergeCell ref="G31:H31"/>
    <mergeCell ref="A28:A29"/>
    <mergeCell ref="B28:B29"/>
    <mergeCell ref="C28:C29"/>
    <mergeCell ref="D28:D29"/>
    <mergeCell ref="E28:F29"/>
    <mergeCell ref="A1:P1"/>
    <mergeCell ref="A7:A8"/>
    <mergeCell ref="B7:B8"/>
    <mergeCell ref="C7:C8"/>
    <mergeCell ref="D7:D8"/>
    <mergeCell ref="E7:F7"/>
    <mergeCell ref="G7:H7"/>
    <mergeCell ref="I7:J7"/>
    <mergeCell ref="K7:L7"/>
    <mergeCell ref="M7:N7"/>
    <mergeCell ref="O7:P7"/>
  </mergeCells>
  <pageMargins left="0.59055118110236227" right="0.51181102362204722" top="1.5748031496062993" bottom="0.78740157480314965" header="0.31496062992125984" footer="0.31496062992125984"/>
  <pageSetup paperSize="9" scale="5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Calculo</vt:lpstr>
      <vt:lpstr>Planilha</vt:lpstr>
      <vt:lpstr>Memorial</vt:lpstr>
      <vt:lpstr>Composições</vt:lpstr>
      <vt:lpstr>Cronograma</vt:lpstr>
      <vt:lpstr>Memorial!Area_de_impressao</vt:lpstr>
      <vt:lpstr>Planilha!Area_de_impressao</vt:lpstr>
      <vt:lpstr>Memorial!Titulos_de_impressao</vt:lpstr>
      <vt:lpstr>Planilha!Titulos_de_impressao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Gabriela Freire</cp:lastModifiedBy>
  <cp:lastPrinted>2018-04-23T14:04:52Z</cp:lastPrinted>
  <dcterms:created xsi:type="dcterms:W3CDTF">2012-10-15T18:57:41Z</dcterms:created>
  <dcterms:modified xsi:type="dcterms:W3CDTF">2018-04-23T14:05:50Z</dcterms:modified>
</cp:coreProperties>
</file>