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ário\Desktop\TELHADO PAÇO MUNICIPAL\TELHA CERÂMICA\"/>
    </mc:Choice>
  </mc:AlternateContent>
  <xr:revisionPtr revIDLastSave="0" documentId="13_ncr:1_{FF5BDC13-7EDF-4831-9835-33204461E998}" xr6:coauthVersionLast="41" xr6:coauthVersionMax="41" xr10:uidLastSave="{00000000-0000-0000-0000-000000000000}"/>
  <bookViews>
    <workbookView xWindow="-120" yWindow="-120" windowWidth="20730" windowHeight="11160" activeTab="2" xr2:uid="{00000000-000D-0000-FFFF-FFFF00000000}"/>
  </bookViews>
  <sheets>
    <sheet name="Calculo" sheetId="8" r:id="rId1"/>
    <sheet name="Cálculo 2019" sheetId="11" r:id="rId2"/>
    <sheet name="Planilha" sheetId="5" r:id="rId3"/>
    <sheet name="Plan1" sheetId="10" r:id="rId4"/>
  </sheets>
  <definedNames>
    <definedName name="_xlnm._FilterDatabase" localSheetId="2" hidden="1">Planilha!#REF!</definedName>
    <definedName name="_xlnm.Print_Area" localSheetId="3">Plan1!$A$1:$L$33</definedName>
    <definedName name="_xlnm.Print_Area" localSheetId="2">Planilha!$A$1:$I$62</definedName>
    <definedName name="_xlnm.Print_Titles" localSheetId="2">Planilha!$6:$11</definedName>
  </definedNames>
  <calcPr calcId="181029"/>
</workbook>
</file>

<file path=xl/calcChain.xml><?xml version="1.0" encoding="utf-8"?>
<calcChain xmlns="http://schemas.openxmlformats.org/spreadsheetml/2006/main">
  <c r="L13" i="10" l="1"/>
  <c r="K13" i="10"/>
  <c r="L12" i="10"/>
  <c r="K12" i="10"/>
  <c r="L11" i="10"/>
  <c r="K11" i="10"/>
  <c r="L10" i="10"/>
  <c r="K10" i="10"/>
  <c r="K9" i="10"/>
  <c r="J13" i="10"/>
  <c r="I13" i="10"/>
  <c r="H13" i="10"/>
  <c r="G13" i="10"/>
  <c r="F13" i="10"/>
  <c r="E13" i="10"/>
  <c r="I12" i="10"/>
  <c r="I10" i="10"/>
  <c r="G11" i="10"/>
  <c r="E11" i="10"/>
  <c r="G9" i="10"/>
  <c r="C12" i="10"/>
  <c r="C11" i="10"/>
  <c r="C10" i="10"/>
  <c r="C9" i="10"/>
  <c r="C13" i="10" s="1"/>
  <c r="D10" i="10" s="1"/>
  <c r="B12" i="10"/>
  <c r="B11" i="10"/>
  <c r="B10" i="10"/>
  <c r="I36" i="5"/>
  <c r="I26" i="5"/>
  <c r="I23" i="5"/>
  <c r="I12" i="5"/>
  <c r="D12" i="10" l="1"/>
  <c r="D11" i="10"/>
  <c r="I39" i="5"/>
  <c r="H38" i="5"/>
  <c r="I38" i="5" s="1"/>
  <c r="R49" i="11"/>
  <c r="M63" i="11"/>
  <c r="G71" i="11"/>
  <c r="G69" i="11"/>
  <c r="B72" i="11"/>
  <c r="I35" i="5"/>
  <c r="H35" i="5"/>
  <c r="B40" i="11"/>
  <c r="AB18" i="11"/>
  <c r="AA32" i="11"/>
  <c r="Z25" i="11"/>
  <c r="Y32" i="11"/>
  <c r="X25" i="11"/>
  <c r="W32" i="11" l="1"/>
  <c r="V25" i="11"/>
  <c r="U33" i="11"/>
  <c r="O23" i="11"/>
  <c r="T23" i="11"/>
  <c r="S19" i="11"/>
  <c r="R19" i="11"/>
  <c r="Q19" i="11"/>
  <c r="P19" i="11"/>
  <c r="N33" i="11" l="1"/>
  <c r="G18" i="11"/>
  <c r="M25" i="11"/>
  <c r="L32" i="11"/>
  <c r="J32" i="11"/>
  <c r="H32" i="11"/>
  <c r="I25" i="11"/>
  <c r="I25" i="5"/>
  <c r="H25" i="5"/>
  <c r="K25" i="11" l="1"/>
  <c r="F18" i="11" l="1"/>
  <c r="E18" i="11"/>
  <c r="D18" i="11"/>
  <c r="C18" i="11"/>
  <c r="B18" i="11"/>
  <c r="A18" i="11"/>
  <c r="H18" i="5" l="1"/>
  <c r="I18" i="5" s="1"/>
  <c r="S9" i="8" l="1"/>
  <c r="S13" i="8" s="1"/>
  <c r="T17" i="8"/>
  <c r="I17" i="5" l="1"/>
  <c r="H17" i="5"/>
  <c r="H29" i="5"/>
  <c r="I29" i="5" s="1"/>
  <c r="H30" i="5" l="1"/>
  <c r="H28" i="5"/>
  <c r="H21" i="5"/>
  <c r="H22" i="5"/>
  <c r="H20" i="5"/>
  <c r="H15" i="5"/>
  <c r="H16" i="5"/>
  <c r="H14" i="5"/>
  <c r="I21" i="5" l="1"/>
  <c r="L9" i="10" l="1"/>
  <c r="B9" i="10"/>
  <c r="F5" i="8" l="1"/>
  <c r="F4" i="8"/>
  <c r="F3" i="8"/>
  <c r="E7" i="8"/>
  <c r="E6" i="8"/>
  <c r="I22" i="5" l="1"/>
  <c r="I20" i="5"/>
  <c r="H8" i="8"/>
  <c r="H7" i="8"/>
  <c r="H6" i="8"/>
  <c r="H5" i="8" l="1"/>
  <c r="H4" i="8"/>
  <c r="H3" i="8"/>
  <c r="F6" i="8"/>
  <c r="E5" i="8"/>
  <c r="E4" i="8"/>
  <c r="E8" i="8" s="1"/>
  <c r="F10" i="8" s="1"/>
  <c r="F14" i="8" s="1"/>
  <c r="L19" i="8" s="1"/>
  <c r="E3" i="8"/>
  <c r="B22" i="8"/>
  <c r="B21" i="8"/>
  <c r="B20" i="8"/>
  <c r="L15" i="8" l="1"/>
  <c r="K13" i="8"/>
  <c r="H23" i="8"/>
  <c r="L5" i="8" s="1"/>
  <c r="P13" i="8" s="1"/>
  <c r="I30" i="5"/>
  <c r="I16" i="5"/>
  <c r="I15" i="5"/>
  <c r="L23" i="8" l="1"/>
  <c r="H34" i="5"/>
  <c r="H32" i="5"/>
  <c r="I34" i="5" l="1"/>
  <c r="I32" i="5" l="1"/>
  <c r="I14" i="5" l="1"/>
  <c r="E9" i="10" l="1"/>
  <c r="L32" i="5"/>
  <c r="T32" i="5"/>
  <c r="AB32" i="5"/>
  <c r="N32" i="5"/>
  <c r="AD32" i="5"/>
  <c r="P32" i="5"/>
  <c r="X32" i="5"/>
  <c r="AF32" i="5"/>
  <c r="J32" i="5"/>
  <c r="R32" i="5"/>
  <c r="Z32" i="5"/>
  <c r="AH32" i="5"/>
  <c r="V32" i="5"/>
  <c r="AB14" i="5" l="1"/>
  <c r="X14" i="5"/>
  <c r="AH14" i="5"/>
  <c r="AD14" i="5"/>
  <c r="Z14" i="5"/>
  <c r="V14" i="5"/>
  <c r="R14" i="5"/>
  <c r="N14" i="5"/>
  <c r="AF14" i="5"/>
  <c r="T14" i="5"/>
  <c r="P14" i="5"/>
  <c r="L14" i="5"/>
  <c r="J14" i="5"/>
  <c r="I28" i="5" l="1"/>
  <c r="D9" i="10" l="1"/>
  <c r="D13" i="10"/>
</calcChain>
</file>

<file path=xl/sharedStrings.xml><?xml version="1.0" encoding="utf-8"?>
<sst xmlns="http://schemas.openxmlformats.org/spreadsheetml/2006/main" count="231" uniqueCount="122">
  <si>
    <t>ITEM</t>
  </si>
  <si>
    <t>CÓDIGO</t>
  </si>
  <si>
    <t>FONTE</t>
  </si>
  <si>
    <t>DESCRIÇÃO DOS SERVIÇOS</t>
  </si>
  <si>
    <t>VALOR (R$)</t>
  </si>
  <si>
    <t>1.1</t>
  </si>
  <si>
    <t>SINAPI</t>
  </si>
  <si>
    <t xml:space="preserve">SERVIÇOS PRELIMINARES </t>
  </si>
  <si>
    <t>M</t>
  </si>
  <si>
    <t>CPOS</t>
  </si>
  <si>
    <t>PREÇO TOTAL (R$)</t>
  </si>
  <si>
    <t>PROPONENTE:</t>
  </si>
  <si>
    <t>PREFEITURA MUNICIPAL DE BIRIGUI</t>
  </si>
  <si>
    <t>ORÇAMENTO:</t>
  </si>
  <si>
    <t>LOCAL:</t>
  </si>
  <si>
    <t>PLANILHA ORÇAMENTÁRIA ANALÍTICA</t>
  </si>
  <si>
    <t>Data Base</t>
  </si>
  <si>
    <t>Índice</t>
  </si>
  <si>
    <t>Data</t>
  </si>
  <si>
    <t>Medição</t>
  </si>
  <si>
    <t>MEDIDO NO PERÍODO (R$)</t>
  </si>
  <si>
    <t>MEDIDO NO PERÍODO (%)</t>
  </si>
  <si>
    <t>Boletim de Medição</t>
  </si>
  <si>
    <t>Total Acumulado</t>
  </si>
  <si>
    <t>1.2</t>
  </si>
  <si>
    <t>BDI Adotado</t>
  </si>
  <si>
    <t>QUANT</t>
  </si>
  <si>
    <t>UNI</t>
  </si>
  <si>
    <t>PR. UNIT. sem bdi (R$)</t>
  </si>
  <si>
    <t>PR. UNIT. com bdi (R$)</t>
  </si>
  <si>
    <t>M²</t>
  </si>
  <si>
    <t xml:space="preserve"> M²</t>
  </si>
  <si>
    <t>1.3</t>
  </si>
  <si>
    <t>04.03.020</t>
  </si>
  <si>
    <t>04.03.060</t>
  </si>
  <si>
    <t>04.30.020</t>
  </si>
  <si>
    <t>REMOÇÃO DE CALHA OU RUFO</t>
  </si>
  <si>
    <t>RETIRADAS</t>
  </si>
  <si>
    <t>TELHAMENTO</t>
  </si>
  <si>
    <t>COBERTURA</t>
  </si>
  <si>
    <t>CALHAS E RUFOS</t>
  </si>
  <si>
    <t>ESTRUTURA</t>
  </si>
  <si>
    <t>TOTAL GERAL =</t>
  </si>
  <si>
    <t>PRAÇA JAMES MELLOR</t>
  </si>
  <si>
    <t>CUMEEIRA</t>
  </si>
  <si>
    <t>CALHA</t>
  </si>
  <si>
    <t>TOTAL =</t>
  </si>
  <si>
    <t>TELHADO</t>
  </si>
  <si>
    <t>TRANSPORTE</t>
  </si>
  <si>
    <t>M³</t>
  </si>
  <si>
    <t>ESP. =</t>
  </si>
  <si>
    <t>DIST. =</t>
  </si>
  <si>
    <t>VOL. =</t>
  </si>
  <si>
    <t>KM</t>
  </si>
  <si>
    <t>M³/KM</t>
  </si>
  <si>
    <t>1.4</t>
  </si>
  <si>
    <t>UNIDADES</t>
  </si>
  <si>
    <t>CARGA MANUAL DE ENTULHO EM CAMINHAO BASCULANTE 6 M3</t>
  </si>
  <si>
    <t>RETIRADA DE TELHAMENTO EM BARRO COM REAPROVEITAMENTO</t>
  </si>
  <si>
    <t>RETIRADA DE CUMEEIRA OU ESPIGÃO EM BARRO COM REAPROVEITAMENTO</t>
  </si>
  <si>
    <t>VOL. TOTAL =</t>
  </si>
  <si>
    <t>1.5</t>
  </si>
  <si>
    <t>REFORMA DA COBERTURA DO PAÇO MUNICIPAL</t>
  </si>
  <si>
    <t>CRONOGRAMA FISICO FINANCEIRO</t>
  </si>
  <si>
    <t>PROPONENTE: Prefeitura Municipal de Birigui</t>
  </si>
  <si>
    <t>VALOR</t>
  </si>
  <si>
    <t>PESO (%)</t>
  </si>
  <si>
    <t>Mês 1</t>
  </si>
  <si>
    <t>Mês 2</t>
  </si>
  <si>
    <t>1.0</t>
  </si>
  <si>
    <t>2.0</t>
  </si>
  <si>
    <t>TOTAIS</t>
  </si>
  <si>
    <t>OBJETO: Reforma da cobertura do Paço Municipal</t>
  </si>
  <si>
    <t>LOCAL: Praça James Mellor, Centro, Cidade Birigui - SP.</t>
  </si>
  <si>
    <t>TOTAL ACUMULADO</t>
  </si>
  <si>
    <t>TRANSPORTE COM CAMINHÃO BASCULANTE DE 6 M3, EM VIA URBANA PAVIMENTADA, DMT ATÉ 30 KM (UNIDADE: M3XKM). AF_01/2018</t>
  </si>
  <si>
    <t>DESCARGA MANUAL DE ENTULHO EM CAMINHAO BASCULANTE 6 M3</t>
  </si>
  <si>
    <t>1.6</t>
  </si>
  <si>
    <t>16.02.230</t>
  </si>
  <si>
    <t>CUMEEIRA DE BARRO EMBOÇADO TIPOS: PLAN, ROMANA, ITALIANA, FRANCESA E PAULISTINHA</t>
  </si>
  <si>
    <t>16.02.270</t>
  </si>
  <si>
    <t>ESPIGÃO DE BARRO EMBOÇADO</t>
  </si>
  <si>
    <t>04.02.030</t>
  </si>
  <si>
    <t>RETIRADA DE PEÇAS LINEARES EM MADEIRA COM SEÇÃO SUPERIOR A 60 CM²</t>
  </si>
  <si>
    <t xml:space="preserve">DEDETIZAÇÃO </t>
  </si>
  <si>
    <t>DESCUPINIZAÇÃO DE ESTRUTURA DE MADEIRA</t>
  </si>
  <si>
    <t>2..1</t>
  </si>
  <si>
    <t>-</t>
  </si>
  <si>
    <t>COTAÇÃO</t>
  </si>
  <si>
    <t>3.1</t>
  </si>
  <si>
    <t>3.2</t>
  </si>
  <si>
    <t>3.3</t>
  </si>
  <si>
    <t>3.4</t>
  </si>
  <si>
    <t>3.5</t>
  </si>
  <si>
    <t>07.60.016</t>
  </si>
  <si>
    <t>FDE</t>
  </si>
  <si>
    <t>RETIRADA DE RIPAS</t>
  </si>
  <si>
    <t>07.80.004</t>
  </si>
  <si>
    <t>VIGA DE MADEIRA 6 X 12 CM G1-C6</t>
  </si>
  <si>
    <t>3.6</t>
  </si>
  <si>
    <t>RIPAS</t>
  </si>
  <si>
    <t>DESCUPINIZAÇÃO DA ESTRUTURA DO TELHADO</t>
  </si>
  <si>
    <t>UN.</t>
  </si>
  <si>
    <t xml:space="preserve">TOTAL = </t>
  </si>
  <si>
    <t>07.80.001</t>
  </si>
  <si>
    <t>RIPAS DE 5 X 1,5 CM G1-C6</t>
  </si>
  <si>
    <t>ÁREA</t>
  </si>
  <si>
    <t xml:space="preserve">CALHA QUE VAI VIRAR ESPIGÃO </t>
  </si>
  <si>
    <t>ESPIGÃO</t>
  </si>
  <si>
    <t>TELHAMENTO COM TELHA CERÂMICA DE ENCAIXE, TIPO ROMANA, COM MAIS DE 2 ÁGUAS, INCLUSO TRANSPORTE VERTICAL. AF_06/2016</t>
  </si>
  <si>
    <t>CALHA EM CHAPA DE AÇO GALVANIZADO NÚMERO 24, DESENVOLVIMENTO DE 50 CM, INCLUSO TRANSPORTE VERTICAL. AF_06/2016</t>
  </si>
  <si>
    <t xml:space="preserve">PINTURA </t>
  </si>
  <si>
    <t>PINTURA DAS TELHAS CERÂMICAS</t>
  </si>
  <si>
    <t>33.03.740</t>
  </si>
  <si>
    <t>4.1</t>
  </si>
  <si>
    <t>RESINA ACRÍLICA PLASTIFICANTE</t>
  </si>
  <si>
    <r>
      <rPr>
        <u/>
        <sz val="11"/>
        <rFont val="Arial"/>
        <family val="2"/>
      </rPr>
      <t>FONTE DE PESQUISA UTILIZADA:</t>
    </r>
    <r>
      <rPr>
        <sz val="11"/>
        <rFont val="Arial"/>
        <family val="2"/>
      </rPr>
      <t xml:space="preserve"> CPOS, SINAPI E FDE</t>
    </r>
  </si>
  <si>
    <t>Birigui, 19 de março de 2019</t>
  </si>
  <si>
    <t>(OITENTA E TRÊS MIL, SETECENTOS E QUARENTA E UM REAIS E OITENTA E CINCO CENTAVOS)</t>
  </si>
  <si>
    <t>3.0</t>
  </si>
  <si>
    <t>4.0</t>
  </si>
  <si>
    <t>Mês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</si>
</sst>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#,##0.0000"/>
    <numFmt numFmtId="169" formatCode="0.0000"/>
  </numFmts>
  <fonts count="20">
    <font>
      <sz val="11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1"/>
      <color rgb="FF000000"/>
      <name val="Arial"/>
      <family val="2"/>
    </font>
    <font>
      <b/>
      <sz val="14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i/>
      <sz val="11"/>
      <name val="Arial"/>
      <family val="2"/>
    </font>
    <font>
      <u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465926084170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4" fillId="0" borderId="0" applyNumberFormat="0" applyBorder="0" applyProtection="0"/>
    <xf numFmtId="0" fontId="4" fillId="0" borderId="0" applyNumberFormat="0" applyBorder="0" applyProtection="0"/>
    <xf numFmtId="165" fontId="4" fillId="0" borderId="0" applyBorder="0" applyProtection="0"/>
    <xf numFmtId="165" fontId="4" fillId="0" borderId="0" applyBorder="0" applyProtection="0"/>
    <xf numFmtId="0" fontId="5" fillId="0" borderId="0" applyNumberFormat="0" applyBorder="0" applyProtection="0"/>
    <xf numFmtId="0" fontId="4" fillId="0" borderId="0" applyNumberFormat="0" applyBorder="0" applyProtection="0"/>
    <xf numFmtId="166" fontId="5" fillId="0" borderId="0" applyBorder="0" applyProtection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1" fillId="0" borderId="0"/>
    <xf numFmtId="9" fontId="1" fillId="0" borderId="0" applyFont="0" applyFill="0" applyBorder="0" applyAlignment="0" applyProtection="0"/>
    <xf numFmtId="0" fontId="7" fillId="0" borderId="0" applyNumberFormat="0" applyBorder="0" applyProtection="0"/>
    <xf numFmtId="167" fontId="7" fillId="0" borderId="0" applyBorder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4" fillId="0" borderId="0" applyBorder="0" applyProtection="0"/>
    <xf numFmtId="0" fontId="9" fillId="0" borderId="0">
      <alignment vertical="top"/>
    </xf>
    <xf numFmtId="9" fontId="14" fillId="0" borderId="0" applyFont="0" applyFill="0" applyBorder="0" applyAlignment="0" applyProtection="0"/>
  </cellStyleXfs>
  <cellXfs count="229">
    <xf numFmtId="0" fontId="0" fillId="0" borderId="0" xfId="0"/>
    <xf numFmtId="0" fontId="1" fillId="0" borderId="0" xfId="10" applyAlignment="1">
      <alignment vertical="center"/>
    </xf>
    <xf numFmtId="0" fontId="1" fillId="0" borderId="0" xfId="10" applyAlignment="1">
      <alignment horizontal="left" vertical="center" wrapText="1"/>
    </xf>
    <xf numFmtId="0" fontId="1" fillId="0" borderId="0" xfId="10" applyAlignment="1">
      <alignment horizontal="center" vertical="center" wrapText="1"/>
    </xf>
    <xf numFmtId="164" fontId="1" fillId="0" borderId="0" xfId="14" applyFont="1" applyAlignment="1">
      <alignment vertical="center" wrapText="1"/>
    </xf>
    <xf numFmtId="0" fontId="1" fillId="0" borderId="0" xfId="10" applyAlignment="1">
      <alignment vertical="center" wrapText="1"/>
    </xf>
    <xf numFmtId="0" fontId="2" fillId="0" borderId="0" xfId="10" applyFont="1" applyAlignment="1">
      <alignment horizontal="center" vertical="center"/>
    </xf>
    <xf numFmtId="0" fontId="1" fillId="0" borderId="0" xfId="10" applyAlignment="1">
      <alignment horizontal="center" vertical="center"/>
    </xf>
    <xf numFmtId="0" fontId="1" fillId="0" borderId="0" xfId="10" applyAlignment="1">
      <alignment horizontal="left" vertical="center"/>
    </xf>
    <xf numFmtId="164" fontId="1" fillId="0" borderId="0" xfId="14" applyFont="1" applyAlignment="1">
      <alignment vertical="center"/>
    </xf>
    <xf numFmtId="164" fontId="1" fillId="0" borderId="0" xfId="14" applyFont="1" applyAlignment="1">
      <alignment horizontal="center" vertical="center" wrapText="1"/>
    </xf>
    <xf numFmtId="164" fontId="1" fillId="0" borderId="0" xfId="14" applyFont="1" applyAlignment="1">
      <alignment horizontal="center" vertical="center"/>
    </xf>
    <xf numFmtId="0" fontId="1" fillId="4" borderId="0" xfId="10" applyFill="1" applyAlignment="1">
      <alignment vertical="center"/>
    </xf>
    <xf numFmtId="43" fontId="1" fillId="0" borderId="0" xfId="10" applyNumberFormat="1" applyAlignment="1">
      <alignment vertical="center"/>
    </xf>
    <xf numFmtId="164" fontId="1" fillId="4" borderId="3" xfId="14" applyFont="1" applyFill="1" applyBorder="1" applyAlignment="1">
      <alignment horizontal="center" vertical="center"/>
    </xf>
    <xf numFmtId="0" fontId="2" fillId="5" borderId="3" xfId="10" applyFont="1" applyFill="1" applyBorder="1" applyAlignment="1">
      <alignment vertical="center"/>
    </xf>
    <xf numFmtId="0" fontId="2" fillId="5" borderId="13" xfId="10" applyFont="1" applyFill="1" applyBorder="1" applyAlignment="1">
      <alignment vertical="center"/>
    </xf>
    <xf numFmtId="164" fontId="1" fillId="5" borderId="13" xfId="14" applyFont="1" applyFill="1" applyBorder="1" applyAlignment="1">
      <alignment vertical="center"/>
    </xf>
    <xf numFmtId="0" fontId="1" fillId="5" borderId="0" xfId="10" applyFill="1" applyAlignment="1">
      <alignment vertical="center"/>
    </xf>
    <xf numFmtId="164" fontId="1" fillId="5" borderId="3" xfId="14" applyFont="1" applyFill="1" applyBorder="1" applyAlignment="1">
      <alignment vertical="center"/>
    </xf>
    <xf numFmtId="0" fontId="2" fillId="6" borderId="0" xfId="0" applyFont="1" applyFill="1" applyAlignment="1">
      <alignment wrapText="1"/>
    </xf>
    <xf numFmtId="0" fontId="2" fillId="6" borderId="5" xfId="0" applyFont="1" applyFill="1" applyBorder="1" applyAlignment="1">
      <alignment wrapText="1"/>
    </xf>
    <xf numFmtId="10" fontId="2" fillId="6" borderId="6" xfId="0" applyNumberFormat="1" applyFont="1" applyFill="1" applyBorder="1" applyAlignment="1">
      <alignment horizontal="center" wrapText="1"/>
    </xf>
    <xf numFmtId="4" fontId="2" fillId="6" borderId="10" xfId="0" applyNumberFormat="1" applyFont="1" applyFill="1" applyBorder="1"/>
    <xf numFmtId="14" fontId="2" fillId="6" borderId="8" xfId="0" applyNumberFormat="1" applyFont="1" applyFill="1" applyBorder="1" applyAlignment="1">
      <alignment horizontal="center" wrapText="1"/>
    </xf>
    <xf numFmtId="4" fontId="2" fillId="6" borderId="11" xfId="0" applyNumberFormat="1" applyFont="1" applyFill="1" applyBorder="1" applyAlignment="1">
      <alignment horizontal="center"/>
    </xf>
    <xf numFmtId="164" fontId="2" fillId="5" borderId="1" xfId="14" applyFont="1" applyFill="1" applyBorder="1" applyAlignment="1">
      <alignment horizontal="center" vertical="center" wrapText="1"/>
    </xf>
    <xf numFmtId="10" fontId="1" fillId="0" borderId="3" xfId="10" applyNumberFormat="1" applyBorder="1" applyAlignment="1">
      <alignment horizontal="center" vertical="center"/>
    </xf>
    <xf numFmtId="0" fontId="2" fillId="6" borderId="7" xfId="0" applyFont="1" applyFill="1" applyBorder="1" applyAlignment="1">
      <alignment wrapText="1"/>
    </xf>
    <xf numFmtId="0" fontId="2" fillId="6" borderId="8" xfId="0" applyFont="1" applyFill="1" applyBorder="1" applyAlignment="1">
      <alignment horizontal="center" wrapText="1"/>
    </xf>
    <xf numFmtId="0" fontId="2" fillId="6" borderId="9" xfId="0" applyFont="1" applyFill="1" applyBorder="1" applyAlignment="1">
      <alignment wrapText="1"/>
    </xf>
    <xf numFmtId="14" fontId="2" fillId="6" borderId="11" xfId="0" applyNumberFormat="1" applyFont="1" applyFill="1" applyBorder="1" applyAlignment="1">
      <alignment horizontal="center" wrapText="1"/>
    </xf>
    <xf numFmtId="0" fontId="11" fillId="0" borderId="0" xfId="0" applyFont="1"/>
    <xf numFmtId="10" fontId="1" fillId="4" borderId="3" xfId="10" applyNumberFormat="1" applyFill="1" applyBorder="1" applyAlignment="1">
      <alignment horizontal="center" vertical="center"/>
    </xf>
    <xf numFmtId="164" fontId="1" fillId="5" borderId="14" xfId="14" applyFont="1" applyFill="1" applyBorder="1" applyAlignment="1">
      <alignment vertical="center"/>
    </xf>
    <xf numFmtId="164" fontId="1" fillId="4" borderId="12" xfId="14" applyFont="1" applyFill="1" applyBorder="1" applyAlignment="1">
      <alignment horizontal="center" vertical="center"/>
    </xf>
    <xf numFmtId="164" fontId="1" fillId="5" borderId="12" xfId="14" applyFont="1" applyFill="1" applyBorder="1" applyAlignment="1">
      <alignment vertical="center"/>
    </xf>
    <xf numFmtId="0" fontId="2" fillId="2" borderId="20" xfId="10" applyFont="1" applyFill="1" applyBorder="1" applyAlignment="1">
      <alignment vertical="center"/>
    </xf>
    <xf numFmtId="164" fontId="2" fillId="2" borderId="20" xfId="14" applyFont="1" applyFill="1" applyBorder="1" applyAlignment="1">
      <alignment vertical="center"/>
    </xf>
    <xf numFmtId="0" fontId="2" fillId="2" borderId="23" xfId="10" applyFont="1" applyFill="1" applyBorder="1" applyAlignment="1">
      <alignment vertical="center"/>
    </xf>
    <xf numFmtId="164" fontId="1" fillId="4" borderId="23" xfId="14" applyFont="1" applyFill="1" applyBorder="1" applyAlignment="1">
      <alignment horizontal="right" vertical="center"/>
    </xf>
    <xf numFmtId="164" fontId="2" fillId="2" borderId="23" xfId="14" applyFont="1" applyFill="1" applyBorder="1" applyAlignment="1">
      <alignment horizontal="right" vertical="center"/>
    </xf>
    <xf numFmtId="0" fontId="2" fillId="2" borderId="20" xfId="10" applyFont="1" applyFill="1" applyBorder="1" applyAlignment="1">
      <alignment horizontal="center" vertical="center"/>
    </xf>
    <xf numFmtId="0" fontId="2" fillId="2" borderId="23" xfId="10" applyFont="1" applyFill="1" applyBorder="1" applyAlignment="1">
      <alignment horizontal="center" vertical="center"/>
    </xf>
    <xf numFmtId="49" fontId="2" fillId="5" borderId="1" xfId="10" applyNumberFormat="1" applyFont="1" applyFill="1" applyBorder="1" applyAlignment="1">
      <alignment horizontal="center" vertical="center" wrapText="1"/>
    </xf>
    <xf numFmtId="4" fontId="2" fillId="5" borderId="1" xfId="10" applyNumberFormat="1" applyFont="1" applyFill="1" applyBorder="1" applyAlignment="1">
      <alignment horizontal="center" vertical="center" wrapText="1"/>
    </xf>
    <xf numFmtId="44" fontId="2" fillId="5" borderId="21" xfId="14" applyNumberFormat="1" applyFont="1" applyFill="1" applyBorder="1" applyAlignment="1">
      <alignment vertical="center"/>
    </xf>
    <xf numFmtId="44" fontId="1" fillId="4" borderId="24" xfId="14" applyNumberFormat="1" applyFont="1" applyFill="1" applyBorder="1" applyAlignment="1">
      <alignment horizontal="right" vertical="center"/>
    </xf>
    <xf numFmtId="44" fontId="2" fillId="5" borderId="24" xfId="14" applyNumberFormat="1" applyFont="1" applyFill="1" applyBorder="1" applyAlignment="1">
      <alignment horizontal="right" vertical="center"/>
    </xf>
    <xf numFmtId="168" fontId="1" fillId="4" borderId="3" xfId="14" applyNumberFormat="1" applyFont="1" applyFill="1" applyBorder="1" applyAlignment="1">
      <alignment horizontal="center" vertical="center"/>
    </xf>
    <xf numFmtId="169" fontId="1" fillId="0" borderId="3" xfId="10" applyNumberFormat="1" applyBorder="1" applyAlignment="1">
      <alignment horizontal="center" vertical="center"/>
    </xf>
    <xf numFmtId="0" fontId="2" fillId="2" borderId="19" xfId="10" applyFont="1" applyFill="1" applyBorder="1" applyAlignment="1">
      <alignment horizontal="center" vertical="center"/>
    </xf>
    <xf numFmtId="0" fontId="2" fillId="2" borderId="22" xfId="1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1" fillId="0" borderId="14" xfId="14" applyFont="1" applyBorder="1" applyAlignment="1">
      <alignment vertical="center"/>
    </xf>
    <xf numFmtId="0" fontId="2" fillId="0" borderId="13" xfId="10" applyFont="1" applyBorder="1" applyAlignment="1">
      <alignment vertical="center"/>
    </xf>
    <xf numFmtId="164" fontId="1" fillId="0" borderId="13" xfId="14" applyFont="1" applyBorder="1" applyAlignment="1">
      <alignment vertical="center"/>
    </xf>
    <xf numFmtId="164" fontId="1" fillId="2" borderId="20" xfId="14" applyFont="1" applyFill="1" applyBorder="1" applyAlignment="1">
      <alignment horizontal="center" vertical="center"/>
    </xf>
    <xf numFmtId="164" fontId="1" fillId="2" borderId="23" xfId="14" applyFont="1" applyFill="1" applyBorder="1" applyAlignment="1">
      <alignment horizontal="center" vertical="center"/>
    </xf>
    <xf numFmtId="44" fontId="13" fillId="0" borderId="0" xfId="1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1" xfId="0" applyFont="1" applyBorder="1"/>
    <xf numFmtId="2" fontId="0" fillId="0" borderId="0" xfId="0" applyNumberFormat="1"/>
    <xf numFmtId="2" fontId="11" fillId="0" borderId="1" xfId="0" applyNumberFormat="1" applyFont="1" applyBorder="1"/>
    <xf numFmtId="2" fontId="11" fillId="0" borderId="1" xfId="0" applyNumberFormat="1" applyFont="1" applyBorder="1" applyAlignment="1">
      <alignment horizontal="center" vertical="center"/>
    </xf>
    <xf numFmtId="0" fontId="1" fillId="4" borderId="22" xfId="10" applyFill="1" applyBorder="1" applyAlignment="1">
      <alignment horizontal="center" vertical="center"/>
    </xf>
    <xf numFmtId="0" fontId="1" fillId="4" borderId="23" xfId="10" applyFill="1" applyBorder="1" applyAlignment="1">
      <alignment horizontal="center" vertical="center"/>
    </xf>
    <xf numFmtId="0" fontId="1" fillId="4" borderId="23" xfId="10" applyFill="1" applyBorder="1" applyAlignment="1">
      <alignment horizontal="center" vertical="center" wrapText="1"/>
    </xf>
    <xf numFmtId="2" fontId="1" fillId="4" borderId="23" xfId="14" applyNumberFormat="1" applyFont="1" applyFill="1" applyBorder="1" applyAlignment="1">
      <alignment horizontal="center" vertical="center"/>
    </xf>
    <xf numFmtId="4" fontId="1" fillId="4" borderId="24" xfId="14" applyNumberFormat="1" applyFont="1" applyFill="1" applyBorder="1" applyAlignment="1">
      <alignment horizontal="right" vertical="center"/>
    </xf>
    <xf numFmtId="0" fontId="16" fillId="0" borderId="0" xfId="0" applyFont="1"/>
    <xf numFmtId="0" fontId="8" fillId="0" borderId="0" xfId="0" applyFont="1"/>
    <xf numFmtId="44" fontId="8" fillId="0" borderId="0" xfId="0" applyNumberFormat="1" applyFont="1"/>
    <xf numFmtId="0" fontId="17" fillId="3" borderId="17" xfId="0" applyFont="1" applyFill="1" applyBorder="1"/>
    <xf numFmtId="0" fontId="17" fillId="3" borderId="16" xfId="0" applyFont="1" applyFill="1" applyBorder="1"/>
    <xf numFmtId="44" fontId="17" fillId="3" borderId="16" xfId="0" applyNumberFormat="1" applyFont="1" applyFill="1" applyBorder="1"/>
    <xf numFmtId="0" fontId="8" fillId="3" borderId="16" xfId="0" applyFont="1" applyFill="1" applyBorder="1"/>
    <xf numFmtId="0" fontId="17" fillId="3" borderId="15" xfId="0" applyFont="1" applyFill="1" applyBorder="1"/>
    <xf numFmtId="0" fontId="17" fillId="3" borderId="0" xfId="0" applyFont="1" applyFill="1"/>
    <xf numFmtId="44" fontId="17" fillId="3" borderId="0" xfId="0" applyNumberFormat="1" applyFont="1" applyFill="1"/>
    <xf numFmtId="0" fontId="8" fillId="3" borderId="0" xfId="0" applyFont="1" applyFill="1"/>
    <xf numFmtId="0" fontId="16" fillId="0" borderId="15" xfId="0" applyFont="1" applyBorder="1"/>
    <xf numFmtId="0" fontId="17" fillId="3" borderId="26" xfId="0" applyFont="1" applyFill="1" applyBorder="1"/>
    <xf numFmtId="0" fontId="17" fillId="3" borderId="18" xfId="0" applyFont="1" applyFill="1" applyBorder="1"/>
    <xf numFmtId="44" fontId="17" fillId="3" borderId="18" xfId="0" applyNumberFormat="1" applyFont="1" applyFill="1" applyBorder="1"/>
    <xf numFmtId="0" fontId="8" fillId="3" borderId="18" xfId="0" applyFont="1" applyFill="1" applyBorder="1"/>
    <xf numFmtId="0" fontId="8" fillId="0" borderId="33" xfId="0" applyFont="1" applyBorder="1"/>
    <xf numFmtId="0" fontId="17" fillId="7" borderId="39" xfId="0" applyFont="1" applyFill="1" applyBorder="1" applyAlignment="1">
      <alignment horizontal="center" vertical="center"/>
    </xf>
    <xf numFmtId="0" fontId="17" fillId="7" borderId="40" xfId="0" applyFont="1" applyFill="1" applyBorder="1" applyAlignment="1">
      <alignment horizontal="center" vertical="center"/>
    </xf>
    <xf numFmtId="0" fontId="8" fillId="4" borderId="41" xfId="0" applyFont="1" applyFill="1" applyBorder="1" applyAlignment="1">
      <alignment horizontal="center" vertical="center"/>
    </xf>
    <xf numFmtId="0" fontId="1" fillId="4" borderId="42" xfId="0" applyFont="1" applyFill="1" applyBorder="1"/>
    <xf numFmtId="44" fontId="1" fillId="4" borderId="42" xfId="0" applyNumberFormat="1" applyFont="1" applyFill="1" applyBorder="1"/>
    <xf numFmtId="2" fontId="1" fillId="4" borderId="16" xfId="0" applyNumberFormat="1" applyFont="1" applyFill="1" applyBorder="1" applyAlignment="1">
      <alignment horizontal="center"/>
    </xf>
    <xf numFmtId="44" fontId="1" fillId="4" borderId="43" xfId="0" applyNumberFormat="1" applyFont="1" applyFill="1" applyBorder="1"/>
    <xf numFmtId="2" fontId="1" fillId="4" borderId="44" xfId="0" applyNumberFormat="1" applyFont="1" applyFill="1" applyBorder="1" applyAlignment="1">
      <alignment horizontal="center" vertical="center"/>
    </xf>
    <xf numFmtId="44" fontId="1" fillId="4" borderId="43" xfId="0" applyNumberFormat="1" applyFont="1" applyFill="1" applyBorder="1" applyAlignment="1">
      <alignment horizontal="center" vertical="center"/>
    </xf>
    <xf numFmtId="2" fontId="1" fillId="4" borderId="45" xfId="0" applyNumberFormat="1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1" fillId="4" borderId="47" xfId="0" applyFont="1" applyFill="1" applyBorder="1"/>
    <xf numFmtId="44" fontId="1" fillId="4" borderId="47" xfId="0" applyNumberFormat="1" applyFont="1" applyFill="1" applyBorder="1"/>
    <xf numFmtId="44" fontId="1" fillId="4" borderId="48" xfId="0" applyNumberFormat="1" applyFont="1" applyFill="1" applyBorder="1"/>
    <xf numFmtId="44" fontId="1" fillId="4" borderId="48" xfId="0" applyNumberFormat="1" applyFont="1" applyFill="1" applyBorder="1" applyAlignment="1">
      <alignment horizontal="center" vertical="center"/>
    </xf>
    <xf numFmtId="0" fontId="17" fillId="7" borderId="49" xfId="0" applyFont="1" applyFill="1" applyBorder="1"/>
    <xf numFmtId="0" fontId="17" fillId="7" borderId="49" xfId="0" applyFont="1" applyFill="1" applyBorder="1" applyAlignment="1">
      <alignment horizontal="right"/>
    </xf>
    <xf numFmtId="44" fontId="17" fillId="7" borderId="49" xfId="0" applyNumberFormat="1" applyFont="1" applyFill="1" applyBorder="1"/>
    <xf numFmtId="9" fontId="17" fillId="7" borderId="16" xfId="18" applyFont="1" applyFill="1" applyBorder="1" applyAlignment="1">
      <alignment horizontal="center"/>
    </xf>
    <xf numFmtId="44" fontId="17" fillId="7" borderId="50" xfId="0" applyNumberFormat="1" applyFont="1" applyFill="1" applyBorder="1"/>
    <xf numFmtId="10" fontId="17" fillId="7" borderId="51" xfId="18" applyNumberFormat="1" applyFont="1" applyFill="1" applyBorder="1" applyAlignment="1">
      <alignment horizontal="center" vertical="center"/>
    </xf>
    <xf numFmtId="44" fontId="17" fillId="7" borderId="52" xfId="0" applyNumberFormat="1" applyFont="1" applyFill="1" applyBorder="1"/>
    <xf numFmtId="44" fontId="16" fillId="0" borderId="0" xfId="0" applyNumberFormat="1" applyFont="1"/>
    <xf numFmtId="0" fontId="16" fillId="0" borderId="2" xfId="0" applyFont="1" applyBorder="1"/>
    <xf numFmtId="164" fontId="13" fillId="0" borderId="0" xfId="14" applyFont="1" applyAlignment="1">
      <alignment horizontal="center" vertical="center"/>
    </xf>
    <xf numFmtId="0" fontId="2" fillId="8" borderId="28" xfId="10" applyFont="1" applyFill="1" applyBorder="1" applyAlignment="1">
      <alignment horizontal="center" vertical="center"/>
    </xf>
    <xf numFmtId="0" fontId="2" fillId="8" borderId="29" xfId="10" applyFont="1" applyFill="1" applyBorder="1" applyAlignment="1">
      <alignment horizontal="center" vertical="center"/>
    </xf>
    <xf numFmtId="0" fontId="2" fillId="8" borderId="29" xfId="10" applyFont="1" applyFill="1" applyBorder="1" applyAlignment="1">
      <alignment vertical="center"/>
    </xf>
    <xf numFmtId="164" fontId="1" fillId="8" borderId="29" xfId="14" applyFont="1" applyFill="1" applyBorder="1" applyAlignment="1">
      <alignment horizontal="center" vertical="center"/>
    </xf>
    <xf numFmtId="164" fontId="2" fillId="8" borderId="29" xfId="14" applyFont="1" applyFill="1" applyBorder="1" applyAlignment="1">
      <alignment vertical="center"/>
    </xf>
    <xf numFmtId="44" fontId="2" fillId="8" borderId="30" xfId="14" applyNumberFormat="1" applyFont="1" applyFill="1" applyBorder="1" applyAlignment="1">
      <alignment vertical="center"/>
    </xf>
    <xf numFmtId="0" fontId="1" fillId="8" borderId="22" xfId="10" applyFill="1" applyBorder="1" applyAlignment="1">
      <alignment horizontal="center" vertical="center"/>
    </xf>
    <xf numFmtId="0" fontId="1" fillId="8" borderId="23" xfId="10" applyFill="1" applyBorder="1" applyAlignment="1">
      <alignment horizontal="center" vertical="center"/>
    </xf>
    <xf numFmtId="0" fontId="1" fillId="8" borderId="23" xfId="10" applyFill="1" applyBorder="1" applyAlignment="1">
      <alignment horizontal="center" vertical="center" wrapText="1"/>
    </xf>
    <xf numFmtId="0" fontId="2" fillId="8" borderId="23" xfId="10" applyFont="1" applyFill="1" applyBorder="1" applyAlignment="1">
      <alignment horizontal="left" vertical="center"/>
    </xf>
    <xf numFmtId="2" fontId="1" fillId="8" borderId="23" xfId="14" applyNumberFormat="1" applyFont="1" applyFill="1" applyBorder="1" applyAlignment="1">
      <alignment horizontal="center" vertical="center"/>
    </xf>
    <xf numFmtId="164" fontId="1" fillId="8" borderId="23" xfId="14" applyFont="1" applyFill="1" applyBorder="1" applyAlignment="1">
      <alignment horizontal="right" vertical="center"/>
    </xf>
    <xf numFmtId="4" fontId="1" fillId="8" borderId="24" xfId="14" applyNumberFormat="1" applyFont="1" applyFill="1" applyBorder="1" applyAlignment="1">
      <alignment horizontal="right" vertical="center"/>
    </xf>
    <xf numFmtId="0" fontId="2" fillId="8" borderId="22" xfId="10" applyFont="1" applyFill="1" applyBorder="1" applyAlignment="1">
      <alignment horizontal="center" vertical="center"/>
    </xf>
    <xf numFmtId="0" fontId="2" fillId="8" borderId="23" xfId="10" applyFont="1" applyFill="1" applyBorder="1" applyAlignment="1">
      <alignment horizontal="center" vertical="center"/>
    </xf>
    <xf numFmtId="0" fontId="2" fillId="8" borderId="23" xfId="10" applyFont="1" applyFill="1" applyBorder="1" applyAlignment="1">
      <alignment horizontal="center" vertical="center" wrapText="1"/>
    </xf>
    <xf numFmtId="0" fontId="2" fillId="8" borderId="23" xfId="10" applyFont="1" applyFill="1" applyBorder="1" applyAlignment="1">
      <alignment horizontal="left" vertical="center" wrapText="1"/>
    </xf>
    <xf numFmtId="164" fontId="1" fillId="8" borderId="23" xfId="14" applyFont="1" applyFill="1" applyBorder="1" applyAlignment="1">
      <alignment horizontal="center" vertical="center"/>
    </xf>
    <xf numFmtId="44" fontId="1" fillId="8" borderId="24" xfId="14" applyNumberFormat="1" applyFont="1" applyFill="1" applyBorder="1" applyAlignment="1">
      <alignment horizontal="right" vertical="center"/>
    </xf>
    <xf numFmtId="0" fontId="1" fillId="4" borderId="23" xfId="10" applyFill="1" applyBorder="1" applyAlignment="1">
      <alignment horizontal="left" vertical="center" wrapText="1"/>
    </xf>
    <xf numFmtId="0" fontId="16" fillId="4" borderId="0" xfId="0" applyFont="1" applyFill="1" applyAlignment="1">
      <alignment vertical="center" wrapText="1"/>
    </xf>
    <xf numFmtId="0" fontId="1" fillId="4" borderId="23" xfId="10" applyFill="1" applyBorder="1" applyAlignment="1">
      <alignment vertical="center" wrapText="1"/>
    </xf>
    <xf numFmtId="0" fontId="1" fillId="4" borderId="23" xfId="10" applyFill="1" applyBorder="1" applyAlignment="1">
      <alignment horizontal="left" vertical="center"/>
    </xf>
    <xf numFmtId="10" fontId="17" fillId="7" borderId="53" xfId="18" applyNumberFormat="1" applyFont="1" applyFill="1" applyBorder="1" applyAlignment="1">
      <alignment horizontal="center" vertical="center"/>
    </xf>
    <xf numFmtId="0" fontId="8" fillId="3" borderId="25" xfId="0" applyFont="1" applyFill="1" applyBorder="1"/>
    <xf numFmtId="0" fontId="16" fillId="0" borderId="0" xfId="0" applyFont="1" applyAlignment="1">
      <alignment vertical="center" wrapText="1"/>
    </xf>
    <xf numFmtId="0" fontId="18" fillId="0" borderId="0" xfId="10" applyFont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0" fillId="0" borderId="1" xfId="0" applyBorder="1" applyAlignment="1">
      <alignment horizontal="center"/>
    </xf>
    <xf numFmtId="0" fontId="1" fillId="4" borderId="0" xfId="10" applyFill="1" applyAlignment="1">
      <alignment horizontal="center" vertical="center"/>
    </xf>
    <xf numFmtId="0" fontId="1" fillId="4" borderId="0" xfId="10" applyFill="1" applyAlignment="1">
      <alignment horizontal="center" vertical="center" wrapText="1"/>
    </xf>
    <xf numFmtId="2" fontId="1" fillId="4" borderId="0" xfId="14" applyNumberFormat="1" applyFont="1" applyFill="1" applyAlignment="1">
      <alignment horizontal="center" vertical="center"/>
    </xf>
    <xf numFmtId="164" fontId="1" fillId="4" borderId="0" xfId="14" applyFont="1" applyFill="1" applyAlignment="1">
      <alignment horizontal="right" vertical="center"/>
    </xf>
    <xf numFmtId="164" fontId="1" fillId="4" borderId="0" xfId="14" applyFont="1" applyFill="1" applyAlignment="1">
      <alignment horizontal="center" vertical="center"/>
    </xf>
    <xf numFmtId="169" fontId="1" fillId="0" borderId="0" xfId="10" applyNumberFormat="1" applyAlignment="1">
      <alignment horizontal="center" vertical="center"/>
    </xf>
    <xf numFmtId="10" fontId="1" fillId="0" borderId="0" xfId="10" applyNumberFormat="1" applyAlignment="1">
      <alignment horizontal="center" vertical="center"/>
    </xf>
    <xf numFmtId="0" fontId="0" fillId="0" borderId="5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56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0" fillId="9" borderId="0" xfId="0" applyFill="1"/>
    <xf numFmtId="0" fontId="16" fillId="0" borderId="23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0" xfId="10" applyAlignment="1">
      <alignment vertical="center"/>
    </xf>
    <xf numFmtId="0" fontId="18" fillId="0" borderId="0" xfId="10" applyFont="1" applyAlignment="1">
      <alignment horizontal="center" vertical="center"/>
    </xf>
    <xf numFmtId="0" fontId="1" fillId="0" borderId="0" xfId="10" applyAlignment="1">
      <alignment horizontal="center" vertical="center"/>
    </xf>
    <xf numFmtId="0" fontId="12" fillId="0" borderId="0" xfId="10" applyFont="1" applyAlignment="1">
      <alignment horizontal="left" vertical="center"/>
    </xf>
    <xf numFmtId="0" fontId="18" fillId="0" borderId="0" xfId="10" applyFont="1" applyAlignment="1">
      <alignment horizontal="left" vertical="center"/>
    </xf>
    <xf numFmtId="164" fontId="13" fillId="0" borderId="0" xfId="14" applyFont="1" applyAlignment="1">
      <alignment horizontal="center" vertical="center"/>
    </xf>
    <xf numFmtId="0" fontId="2" fillId="5" borderId="4" xfId="10" applyFont="1" applyFill="1" applyBorder="1" applyAlignment="1">
      <alignment horizontal="center" vertical="center"/>
    </xf>
    <xf numFmtId="0" fontId="2" fillId="5" borderId="6" xfId="1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2" fillId="6" borderId="9" xfId="0" applyFont="1" applyFill="1" applyBorder="1" applyAlignment="1">
      <alignment horizontal="center" wrapText="1"/>
    </xf>
    <xf numFmtId="0" fontId="2" fillId="6" borderId="10" xfId="0" applyFont="1" applyFill="1" applyBorder="1" applyAlignment="1">
      <alignment horizontal="center" wrapText="1"/>
    </xf>
    <xf numFmtId="0" fontId="2" fillId="6" borderId="10" xfId="0" applyFont="1" applyFill="1" applyBorder="1" applyAlignment="1">
      <alignment horizontal="left"/>
    </xf>
    <xf numFmtId="0" fontId="2" fillId="6" borderId="5" xfId="0" applyFont="1" applyFill="1" applyBorder="1" applyAlignment="1">
      <alignment horizontal="left" wrapText="1"/>
    </xf>
    <xf numFmtId="0" fontId="2" fillId="6" borderId="0" xfId="0" applyFont="1" applyFill="1" applyAlignment="1">
      <alignment horizontal="left" wrapText="1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0" fontId="17" fillId="3" borderId="38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44" fontId="17" fillId="3" borderId="35" xfId="0" applyNumberFormat="1" applyFont="1" applyFill="1" applyBorder="1" applyAlignment="1">
      <alignment horizontal="center" vertical="center"/>
    </xf>
    <xf numFmtId="44" fontId="17" fillId="3" borderId="38" xfId="0" applyNumberFormat="1" applyFont="1" applyFill="1" applyBorder="1" applyAlignment="1">
      <alignment horizontal="center" vertical="center"/>
    </xf>
    <xf numFmtId="0" fontId="17" fillId="3" borderId="36" xfId="0" applyFont="1" applyFill="1" applyBorder="1" applyAlignment="1">
      <alignment horizontal="center"/>
    </xf>
    <xf numFmtId="0" fontId="17" fillId="3" borderId="37" xfId="0" applyFont="1" applyFill="1" applyBorder="1" applyAlignment="1">
      <alignment horizontal="center"/>
    </xf>
    <xf numFmtId="0" fontId="1" fillId="4" borderId="34" xfId="0" applyFont="1" applyFill="1" applyBorder="1"/>
    <xf numFmtId="44" fontId="1" fillId="4" borderId="34" xfId="0" applyNumberFormat="1" applyFont="1" applyFill="1" applyBorder="1"/>
    <xf numFmtId="44" fontId="1" fillId="4" borderId="59" xfId="0" applyNumberFormat="1" applyFont="1" applyFill="1" applyBorder="1"/>
    <xf numFmtId="2" fontId="1" fillId="4" borderId="60" xfId="0" applyNumberFormat="1" applyFont="1" applyFill="1" applyBorder="1" applyAlignment="1">
      <alignment horizontal="center" vertical="center"/>
    </xf>
    <xf numFmtId="44" fontId="1" fillId="4" borderId="61" xfId="0" applyNumberFormat="1" applyFont="1" applyFill="1" applyBorder="1"/>
    <xf numFmtId="2" fontId="1" fillId="4" borderId="62" xfId="0" applyNumberFormat="1" applyFont="1" applyFill="1" applyBorder="1" applyAlignment="1">
      <alignment horizontal="center" vertical="center"/>
    </xf>
    <xf numFmtId="0" fontId="8" fillId="4" borderId="63" xfId="0" applyFont="1" applyFill="1" applyBorder="1" applyAlignment="1">
      <alignment horizontal="center" vertical="center"/>
    </xf>
    <xf numFmtId="0" fontId="8" fillId="4" borderId="47" xfId="0" applyFont="1" applyFill="1" applyBorder="1" applyAlignment="1">
      <alignment horizontal="center" vertical="center"/>
    </xf>
    <xf numFmtId="0" fontId="1" fillId="4" borderId="63" xfId="0" applyFont="1" applyFill="1" applyBorder="1"/>
    <xf numFmtId="2" fontId="1" fillId="4" borderId="64" xfId="0" applyNumberFormat="1" applyFont="1" applyFill="1" applyBorder="1" applyAlignment="1">
      <alignment horizontal="center" vertical="center"/>
    </xf>
    <xf numFmtId="44" fontId="1" fillId="4" borderId="65" xfId="0" applyNumberFormat="1" applyFont="1" applyFill="1" applyBorder="1" applyAlignment="1">
      <alignment horizontal="center" vertical="center"/>
    </xf>
    <xf numFmtId="44" fontId="1" fillId="4" borderId="66" xfId="0" applyNumberFormat="1" applyFont="1" applyFill="1" applyBorder="1" applyAlignment="1">
      <alignment horizontal="center" vertical="center"/>
    </xf>
    <xf numFmtId="2" fontId="16" fillId="0" borderId="0" xfId="0" applyNumberFormat="1" applyFont="1"/>
  </cellXfs>
  <cellStyles count="19">
    <cellStyle name="20% - Ênfase1 100" xfId="1" xr:uid="{00000000-0005-0000-0000-000000000000}"/>
    <cellStyle name="60% - Ênfase6 37" xfId="2" xr:uid="{00000000-0005-0000-0000-000001000000}"/>
    <cellStyle name="Excel Built-in Excel Built-in Excel Built-in Excel Built-in Excel Built-in Excel Built-in Excel Built-in Excel Built-in Separador de milhares 4" xfId="3" xr:uid="{00000000-0005-0000-0000-000002000000}"/>
    <cellStyle name="Excel Built-in Excel Built-in Excel Built-in Excel Built-in Excel Built-in Excel Built-in Excel Built-in Separador de milhares 4" xfId="4" xr:uid="{00000000-0005-0000-0000-000003000000}"/>
    <cellStyle name="Excel Built-in Normal" xfId="5" xr:uid="{00000000-0005-0000-0000-000004000000}"/>
    <cellStyle name="Excel Built-in Normal 1" xfId="6" xr:uid="{00000000-0005-0000-0000-000005000000}"/>
    <cellStyle name="Excel_BuiltIn_Comma" xfId="7" xr:uid="{00000000-0005-0000-0000-000006000000}"/>
    <cellStyle name="Heading" xfId="8" xr:uid="{00000000-0005-0000-0000-000007000000}"/>
    <cellStyle name="Heading1" xfId="9" xr:uid="{00000000-0005-0000-0000-000008000000}"/>
    <cellStyle name="Normal" xfId="0" builtinId="0"/>
    <cellStyle name="Normal 2" xfId="10" xr:uid="{00000000-0005-0000-0000-00000A000000}"/>
    <cellStyle name="Normal 3" xfId="17" xr:uid="{00000000-0005-0000-0000-00000B000000}"/>
    <cellStyle name="Porcentagem" xfId="18" builtinId="5"/>
    <cellStyle name="Porcentagem 2" xfId="11" xr:uid="{00000000-0005-0000-0000-00000D000000}"/>
    <cellStyle name="Result" xfId="12" xr:uid="{00000000-0005-0000-0000-00000E000000}"/>
    <cellStyle name="Result2" xfId="13" xr:uid="{00000000-0005-0000-0000-00000F000000}"/>
    <cellStyle name="Separador de milhares 2" xfId="15" xr:uid="{00000000-0005-0000-0000-000010000000}"/>
    <cellStyle name="Separador de milhares 4" xfId="16" xr:uid="{00000000-0005-0000-0000-000011000000}"/>
    <cellStyle name="Vírgula" xfId="14" builtinId="3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381001</xdr:colOff>
      <xdr:row>47</xdr:row>
      <xdr:rowOff>152400</xdr:rowOff>
    </xdr:from>
    <xdr:to>
      <xdr:col>3</xdr:col>
      <xdr:colOff>1543051</xdr:colOff>
      <xdr:row>53</xdr:row>
      <xdr:rowOff>57150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89DA5CC3-C75F-4018-8E96-A468F3009FBB}"/>
            </a:ext>
          </a:extLst>
        </xdr:cNvPr>
        <xdr:cNvSpPr txBox="1"/>
      </xdr:nvSpPr>
      <xdr:spPr>
        <a:xfrm>
          <a:off x="381001" y="7896225"/>
          <a:ext cx="3009900" cy="876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GABRIELA DE OLIVEIRA FREIRE SILVA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 Engenheira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Civil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 baseline="0">
              <a:latin typeface="Arial" pitchFamily="34" charset="0"/>
              <a:cs typeface="Arial" pitchFamily="34" charset="0"/>
            </a:rPr>
            <a:t>CREA nº: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3638550</xdr:colOff>
      <xdr:row>47</xdr:row>
      <xdr:rowOff>152400</xdr:rowOff>
    </xdr:from>
    <xdr:to>
      <xdr:col>8</xdr:col>
      <xdr:colOff>457200</xdr:colOff>
      <xdr:row>52</xdr:row>
      <xdr:rowOff>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7CC45DEA-D3B0-40D1-814E-5806F69A9232}"/>
            </a:ext>
          </a:extLst>
        </xdr:cNvPr>
        <xdr:cNvSpPr txBox="1"/>
      </xdr:nvSpPr>
      <xdr:spPr>
        <a:xfrm>
          <a:off x="5486400" y="7896225"/>
          <a:ext cx="3162300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ALEXANDRE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J. S. LASILA</a:t>
          </a:r>
          <a:endParaRPr lang="pt-BR" sz="105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Secretário Adjunto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de Obras</a:t>
          </a:r>
          <a:endParaRPr lang="pt-BR" sz="105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295275</xdr:colOff>
      <xdr:row>56</xdr:row>
      <xdr:rowOff>47625</xdr:rowOff>
    </xdr:from>
    <xdr:to>
      <xdr:col>3</xdr:col>
      <xdr:colOff>1609725</xdr:colOff>
      <xdr:row>60</xdr:row>
      <xdr:rowOff>57150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F86E4300-90AF-474E-9997-878AD46157EF}"/>
            </a:ext>
          </a:extLst>
        </xdr:cNvPr>
        <xdr:cNvSpPr txBox="1"/>
      </xdr:nvSpPr>
      <xdr:spPr>
        <a:xfrm>
          <a:off x="295275" y="10048875"/>
          <a:ext cx="3162300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SAULO GIAMPIETRO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Secretário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de Obras</a:t>
          </a:r>
          <a:endParaRPr lang="pt-BR" sz="105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3657600</xdr:colOff>
      <xdr:row>56</xdr:row>
      <xdr:rowOff>38100</xdr:rowOff>
    </xdr:from>
    <xdr:to>
      <xdr:col>8</xdr:col>
      <xdr:colOff>476250</xdr:colOff>
      <xdr:row>60</xdr:row>
      <xdr:rowOff>47625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774D8CA-D5E1-4CA4-8877-5B3DBA37E982}"/>
            </a:ext>
          </a:extLst>
        </xdr:cNvPr>
        <xdr:cNvSpPr txBox="1"/>
      </xdr:nvSpPr>
      <xdr:spPr>
        <a:xfrm>
          <a:off x="5505450" y="10039350"/>
          <a:ext cx="3162300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CRISTIANO SALMEIRÃO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Prefeito Municipal de Birigui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342901</xdr:colOff>
      <xdr:row>18</xdr:row>
      <xdr:rowOff>28575</xdr:rowOff>
    </xdr:from>
    <xdr:to>
      <xdr:col>2</xdr:col>
      <xdr:colOff>752475</xdr:colOff>
      <xdr:row>23</xdr:row>
      <xdr:rowOff>95250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2F215863-075D-481D-BF3D-6A0F191900AB}"/>
            </a:ext>
          </a:extLst>
        </xdr:cNvPr>
        <xdr:cNvSpPr txBox="1"/>
      </xdr:nvSpPr>
      <xdr:spPr>
        <a:xfrm>
          <a:off x="342901" y="2724150"/>
          <a:ext cx="3019424" cy="933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GABRIELA DE OLIVEIRA FREIRE SILVA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 Engenheira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Civil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 baseline="0">
              <a:latin typeface="Arial" pitchFamily="34" charset="0"/>
              <a:cs typeface="Arial" pitchFamily="34" charset="0"/>
            </a:rPr>
            <a:t>CREA nº: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</xdr:col>
      <xdr:colOff>409575</xdr:colOff>
      <xdr:row>18</xdr:row>
      <xdr:rowOff>38100</xdr:rowOff>
    </xdr:from>
    <xdr:to>
      <xdr:col>12</xdr:col>
      <xdr:colOff>180975</xdr:colOff>
      <xdr:row>22</xdr:row>
      <xdr:rowOff>66675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EA4BF738-E3A4-4F84-9FF5-9DAAE21F7538}"/>
            </a:ext>
          </a:extLst>
        </xdr:cNvPr>
        <xdr:cNvSpPr txBox="1"/>
      </xdr:nvSpPr>
      <xdr:spPr>
        <a:xfrm>
          <a:off x="5495925" y="2733675"/>
          <a:ext cx="3952875" cy="714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ALEXANDRE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J. S. LASILA</a:t>
          </a:r>
          <a:endParaRPr lang="pt-BR" sz="105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Secretário Adjunto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de Obras</a:t>
          </a:r>
          <a:endParaRPr lang="pt-BR" sz="105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266700</xdr:colOff>
      <xdr:row>26</xdr:row>
      <xdr:rowOff>133350</xdr:rowOff>
    </xdr:from>
    <xdr:to>
      <xdr:col>3</xdr:col>
      <xdr:colOff>28575</xdr:colOff>
      <xdr:row>30</xdr:row>
      <xdr:rowOff>142875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9982BA4F-0172-4768-8317-42A5F0F67214}"/>
            </a:ext>
          </a:extLst>
        </xdr:cNvPr>
        <xdr:cNvSpPr txBox="1"/>
      </xdr:nvSpPr>
      <xdr:spPr>
        <a:xfrm>
          <a:off x="266700" y="4200525"/>
          <a:ext cx="3314700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SAULO GIAMPIETRO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Secretário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de Obras</a:t>
          </a:r>
          <a:endParaRPr lang="pt-BR" sz="105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5</xdr:col>
      <xdr:colOff>438150</xdr:colOff>
      <xdr:row>26</xdr:row>
      <xdr:rowOff>95250</xdr:rowOff>
    </xdr:from>
    <xdr:to>
      <xdr:col>12</xdr:col>
      <xdr:colOff>228600</xdr:colOff>
      <xdr:row>30</xdr:row>
      <xdr:rowOff>104775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3F4B1347-32C4-42F4-B2C9-8E1EA24B50C3}"/>
            </a:ext>
          </a:extLst>
        </xdr:cNvPr>
        <xdr:cNvSpPr txBox="1"/>
      </xdr:nvSpPr>
      <xdr:spPr>
        <a:xfrm>
          <a:off x="5524500" y="4162425"/>
          <a:ext cx="3971925" cy="657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CRISTIANO SALMEIRÃO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Prefeito Municipal de Birigui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T29"/>
  <sheetViews>
    <sheetView topLeftCell="E1" workbookViewId="0">
      <selection activeCell="F26" sqref="F26"/>
    </sheetView>
  </sheetViews>
  <sheetFormatPr defaultRowHeight="14.25"/>
  <cols>
    <col min="3" max="3" width="10.625" bestFit="1" customWidth="1"/>
    <col min="6" max="6" width="12.125" bestFit="1" customWidth="1"/>
    <col min="7" max="7" width="9.75" bestFit="1" customWidth="1"/>
    <col min="12" max="12" width="10.375" customWidth="1"/>
    <col min="15" max="15" width="14.25" customWidth="1"/>
  </cols>
  <sheetData>
    <row r="1" spans="2:20">
      <c r="B1" s="172" t="s">
        <v>44</v>
      </c>
      <c r="C1" s="172"/>
      <c r="E1" s="172" t="s">
        <v>45</v>
      </c>
      <c r="F1" s="172"/>
      <c r="H1" s="172" t="s">
        <v>47</v>
      </c>
      <c r="I1" s="172"/>
      <c r="K1" s="173" t="s">
        <v>48</v>
      </c>
      <c r="L1" s="174"/>
      <c r="S1">
        <v>9.19</v>
      </c>
      <c r="T1">
        <v>12.35</v>
      </c>
    </row>
    <row r="2" spans="2:20">
      <c r="B2" s="172"/>
      <c r="C2" s="172"/>
      <c r="E2" s="172"/>
      <c r="F2" s="172"/>
      <c r="H2" s="172"/>
      <c r="I2" s="172"/>
      <c r="K2" s="175"/>
      <c r="L2" s="176"/>
      <c r="S2">
        <v>9.19</v>
      </c>
      <c r="T2">
        <v>1.54</v>
      </c>
    </row>
    <row r="3" spans="2:20">
      <c r="E3" s="62">
        <f>2*3.1419*4.3</f>
        <v>27.020340000000001</v>
      </c>
      <c r="F3" s="62">
        <f>5.97*2</f>
        <v>11.94</v>
      </c>
      <c r="H3" s="62">
        <f>41.99*2</f>
        <v>83.98</v>
      </c>
      <c r="K3" s="60" t="s">
        <v>50</v>
      </c>
      <c r="L3" s="60">
        <v>0.05</v>
      </c>
      <c r="M3" s="60" t="s">
        <v>8</v>
      </c>
      <c r="S3">
        <v>9.3000000000000007</v>
      </c>
      <c r="T3">
        <v>1.54</v>
      </c>
    </row>
    <row r="4" spans="2:20">
      <c r="B4" s="62">
        <v>4.47</v>
      </c>
      <c r="E4" s="62">
        <f>10.2*2</f>
        <v>20.399999999999999</v>
      </c>
      <c r="F4" s="62">
        <f>8.3*4</f>
        <v>33.200000000000003</v>
      </c>
      <c r="H4" s="62">
        <f>12.25*4</f>
        <v>49</v>
      </c>
      <c r="S4">
        <v>9.3000000000000007</v>
      </c>
      <c r="T4">
        <v>10</v>
      </c>
    </row>
    <row r="5" spans="2:20">
      <c r="B5" s="62">
        <v>10.19</v>
      </c>
      <c r="E5" s="62">
        <f>12.35*2</f>
        <v>24.7</v>
      </c>
      <c r="F5" s="62">
        <f>6.06*2</f>
        <v>12.12</v>
      </c>
      <c r="H5" s="62">
        <f>79.42*2</f>
        <v>158.84</v>
      </c>
      <c r="K5" t="s">
        <v>52</v>
      </c>
      <c r="L5">
        <f>ROUND(H23*L3,2)</f>
        <v>31.13</v>
      </c>
      <c r="M5" t="s">
        <v>49</v>
      </c>
      <c r="S5">
        <v>9.19</v>
      </c>
      <c r="T5">
        <v>1.9</v>
      </c>
    </row>
    <row r="6" spans="2:20" ht="15">
      <c r="B6" s="62">
        <v>10.19</v>
      </c>
      <c r="E6" s="62">
        <f>10*2</f>
        <v>20</v>
      </c>
      <c r="F6" s="61">
        <f>SUM(F3:F5)</f>
        <v>57.26</v>
      </c>
      <c r="H6" s="62">
        <f>73.72*2</f>
        <v>147.44</v>
      </c>
      <c r="S6">
        <v>9.19</v>
      </c>
      <c r="T6">
        <v>27.02</v>
      </c>
    </row>
    <row r="7" spans="2:20">
      <c r="B7" s="62">
        <v>4.8899999999999997</v>
      </c>
      <c r="E7" s="62">
        <f>1.54*4</f>
        <v>6.16</v>
      </c>
      <c r="H7" s="62">
        <f>15.36*2</f>
        <v>30.72</v>
      </c>
      <c r="K7" t="s">
        <v>51</v>
      </c>
      <c r="L7">
        <v>2.2999999999999998</v>
      </c>
      <c r="M7" t="s">
        <v>53</v>
      </c>
      <c r="S7">
        <v>9.2200000000000006</v>
      </c>
      <c r="T7">
        <v>1.9</v>
      </c>
    </row>
    <row r="8" spans="2:20" ht="15">
      <c r="B8" s="62">
        <v>1</v>
      </c>
      <c r="E8" s="63">
        <f>SUM(E3:E7)</f>
        <v>98.280339999999995</v>
      </c>
      <c r="H8" s="62">
        <f>15.45*2</f>
        <v>30.9</v>
      </c>
      <c r="S8">
        <v>9.2200000000000006</v>
      </c>
      <c r="T8">
        <v>10.199999999999999</v>
      </c>
    </row>
    <row r="9" spans="2:20">
      <c r="B9" s="62">
        <v>5.0999999999999996</v>
      </c>
      <c r="H9" s="62">
        <v>4.97</v>
      </c>
      <c r="S9">
        <f>SUM(S1:S8)</f>
        <v>73.8</v>
      </c>
      <c r="T9">
        <v>1.54</v>
      </c>
    </row>
    <row r="10" spans="2:20" ht="15">
      <c r="B10" s="62">
        <v>5.3</v>
      </c>
      <c r="E10" s="61" t="s">
        <v>46</v>
      </c>
      <c r="F10" s="63">
        <f>E8+F6</f>
        <v>155.54033999999999</v>
      </c>
      <c r="H10" s="62">
        <v>5.75</v>
      </c>
      <c r="T10">
        <v>12.35</v>
      </c>
    </row>
    <row r="11" spans="2:20">
      <c r="B11" s="62">
        <v>5.36</v>
      </c>
      <c r="H11" s="62">
        <v>5.64</v>
      </c>
      <c r="K11" s="171" t="s">
        <v>44</v>
      </c>
      <c r="L11" s="171"/>
      <c r="T11">
        <v>1.54</v>
      </c>
    </row>
    <row r="12" spans="2:20">
      <c r="B12" s="62">
        <v>5.3</v>
      </c>
      <c r="H12" s="62">
        <v>6</v>
      </c>
      <c r="T12">
        <v>10</v>
      </c>
    </row>
    <row r="13" spans="2:20">
      <c r="B13" s="62">
        <v>5.0999999999999996</v>
      </c>
      <c r="H13" s="62">
        <v>5.75</v>
      </c>
      <c r="K13">
        <f>ROUND(B22/0.41,)</f>
        <v>357</v>
      </c>
      <c r="L13" t="s">
        <v>56</v>
      </c>
      <c r="O13" t="s">
        <v>60</v>
      </c>
      <c r="P13">
        <f>L5+F14+L15</f>
        <v>32.76</v>
      </c>
      <c r="Q13" t="s">
        <v>49</v>
      </c>
      <c r="S13">
        <f>S9+T17</f>
        <v>206.7</v>
      </c>
      <c r="T13">
        <v>1.9</v>
      </c>
    </row>
    <row r="14" spans="2:20">
      <c r="B14" s="62">
        <v>5</v>
      </c>
      <c r="E14" t="s">
        <v>52</v>
      </c>
      <c r="F14">
        <f>ROUND(F10*0.3*0.002,2)</f>
        <v>0.09</v>
      </c>
      <c r="G14" t="s">
        <v>49</v>
      </c>
      <c r="H14" s="62">
        <v>5.64</v>
      </c>
      <c r="T14">
        <v>27.02</v>
      </c>
    </row>
    <row r="15" spans="2:20">
      <c r="B15" s="62">
        <v>5.15</v>
      </c>
      <c r="H15" s="62">
        <v>18</v>
      </c>
      <c r="K15" t="s">
        <v>52</v>
      </c>
      <c r="L15">
        <f>ROUND(B22*0.21*L3,2)</f>
        <v>1.54</v>
      </c>
      <c r="M15" t="s">
        <v>49</v>
      </c>
      <c r="T15">
        <v>1.9</v>
      </c>
    </row>
    <row r="16" spans="2:20" ht="15">
      <c r="B16" s="62">
        <v>5.15</v>
      </c>
      <c r="G16" s="32"/>
      <c r="H16" s="62">
        <v>11.4</v>
      </c>
      <c r="T16">
        <v>10.199999999999999</v>
      </c>
    </row>
    <row r="17" spans="2:20">
      <c r="B17" s="62">
        <v>5.15</v>
      </c>
      <c r="H17" s="62">
        <v>5.54</v>
      </c>
      <c r="K17" s="171" t="s">
        <v>45</v>
      </c>
      <c r="L17" s="171"/>
      <c r="T17">
        <f>SUM(T1:T16)</f>
        <v>132.9</v>
      </c>
    </row>
    <row r="18" spans="2:20">
      <c r="B18" s="62">
        <v>5</v>
      </c>
      <c r="H18" s="62">
        <v>6.26</v>
      </c>
    </row>
    <row r="19" spans="2:20">
      <c r="B19" s="62">
        <v>4.8499999999999996</v>
      </c>
      <c r="H19" s="62">
        <v>6.26</v>
      </c>
      <c r="K19" t="s">
        <v>52</v>
      </c>
      <c r="L19">
        <f>F14</f>
        <v>0.09</v>
      </c>
      <c r="M19" t="s">
        <v>49</v>
      </c>
    </row>
    <row r="20" spans="2:20">
      <c r="B20" s="62">
        <f>8*4</f>
        <v>32</v>
      </c>
      <c r="H20" s="62">
        <v>5.79</v>
      </c>
    </row>
    <row r="21" spans="2:20">
      <c r="B21" s="62">
        <f>6.79*4</f>
        <v>27.16</v>
      </c>
      <c r="H21" s="62">
        <v>17.34</v>
      </c>
    </row>
    <row r="22" spans="2:20" ht="15">
      <c r="B22" s="61">
        <f>SUM(B4:B21)</f>
        <v>146.36000000000001</v>
      </c>
      <c r="H22" s="62">
        <v>17.34</v>
      </c>
    </row>
    <row r="23" spans="2:20" ht="15">
      <c r="H23" s="64">
        <f>SUM(H3:H22)</f>
        <v>622.55999999999995</v>
      </c>
      <c r="I23" s="60" t="s">
        <v>30</v>
      </c>
      <c r="K23" s="61" t="s">
        <v>46</v>
      </c>
      <c r="L23" s="61">
        <f>ROUND((L15+L5+L19)*L7,2)</f>
        <v>75.349999999999994</v>
      </c>
      <c r="M23" s="61" t="s">
        <v>54</v>
      </c>
    </row>
    <row r="29" spans="2:20" ht="15">
      <c r="H29" s="32"/>
      <c r="I29" s="32"/>
    </row>
  </sheetData>
  <mergeCells count="6">
    <mergeCell ref="K17:L17"/>
    <mergeCell ref="B1:C2"/>
    <mergeCell ref="E1:F2"/>
    <mergeCell ref="H1:I2"/>
    <mergeCell ref="K1:L2"/>
    <mergeCell ref="K11:L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8CCCC-E4ED-4D69-BE7A-EF9F9ED98D3D}">
  <sheetPr>
    <pageSetUpPr fitToPage="1"/>
  </sheetPr>
  <dimension ref="A1:AB72"/>
  <sheetViews>
    <sheetView topLeftCell="D52" workbookViewId="0">
      <selection activeCell="A43" sqref="A43:S71"/>
    </sheetView>
  </sheetViews>
  <sheetFormatPr defaultRowHeight="14.25"/>
  <sheetData>
    <row r="1" spans="1:28">
      <c r="A1" s="177" t="s">
        <v>100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9"/>
    </row>
    <row r="2" spans="1:28">
      <c r="A2" s="152">
        <v>1</v>
      </c>
      <c r="B2" s="152">
        <v>2</v>
      </c>
      <c r="C2" s="152">
        <v>3</v>
      </c>
      <c r="D2" s="152">
        <v>4</v>
      </c>
      <c r="E2" s="152">
        <v>5</v>
      </c>
      <c r="F2" s="152">
        <v>6</v>
      </c>
      <c r="G2" s="151">
        <v>7</v>
      </c>
      <c r="H2" s="154">
        <v>8</v>
      </c>
      <c r="I2" s="154">
        <v>9</v>
      </c>
      <c r="J2" s="154">
        <v>10</v>
      </c>
      <c r="K2" s="140">
        <v>11</v>
      </c>
      <c r="L2" s="154">
        <v>12</v>
      </c>
      <c r="M2" s="154">
        <v>13</v>
      </c>
      <c r="N2" s="151">
        <v>14</v>
      </c>
      <c r="O2" s="165">
        <v>15</v>
      </c>
      <c r="P2" s="151">
        <v>16</v>
      </c>
      <c r="Q2" s="151">
        <v>17</v>
      </c>
      <c r="R2" s="151">
        <v>18</v>
      </c>
      <c r="S2" s="151">
        <v>19</v>
      </c>
      <c r="T2" s="151">
        <v>20</v>
      </c>
      <c r="U2" s="151">
        <v>21</v>
      </c>
      <c r="V2" s="151">
        <v>22</v>
      </c>
      <c r="W2" s="151">
        <v>23</v>
      </c>
      <c r="X2" s="151">
        <v>24</v>
      </c>
      <c r="Y2" s="151">
        <v>25</v>
      </c>
      <c r="Z2" s="151">
        <v>26</v>
      </c>
      <c r="AA2" s="151">
        <v>27</v>
      </c>
      <c r="AB2" s="151">
        <v>28</v>
      </c>
    </row>
    <row r="3" spans="1:28">
      <c r="A3" s="148">
        <v>2.15</v>
      </c>
      <c r="B3" s="148">
        <v>2.33</v>
      </c>
      <c r="C3" s="148">
        <v>2.38</v>
      </c>
      <c r="D3" s="148">
        <v>2.31</v>
      </c>
      <c r="E3" s="148">
        <v>2.2799999999999998</v>
      </c>
      <c r="F3" s="148">
        <v>2.11</v>
      </c>
      <c r="G3" s="149">
        <v>4.7</v>
      </c>
      <c r="H3" s="148">
        <v>1.69</v>
      </c>
      <c r="I3" s="158">
        <v>10</v>
      </c>
      <c r="J3" s="148">
        <v>1.34</v>
      </c>
      <c r="K3" s="148">
        <v>12.28</v>
      </c>
      <c r="L3" s="148">
        <v>1.34</v>
      </c>
      <c r="M3" s="148">
        <v>10</v>
      </c>
      <c r="N3" s="160">
        <v>1.68</v>
      </c>
      <c r="O3" s="148">
        <v>4.3</v>
      </c>
      <c r="P3" s="163">
        <v>0.11</v>
      </c>
      <c r="Q3" s="148">
        <v>0.18</v>
      </c>
      <c r="R3" s="148">
        <v>0.17</v>
      </c>
      <c r="S3" s="166">
        <v>0.11</v>
      </c>
      <c r="T3" s="148">
        <v>4.3</v>
      </c>
      <c r="U3" s="148">
        <v>1.68</v>
      </c>
      <c r="V3" s="148">
        <v>10</v>
      </c>
      <c r="W3" s="148">
        <v>1.34</v>
      </c>
      <c r="X3" s="148">
        <v>12.28</v>
      </c>
      <c r="Y3" s="148">
        <v>1.34</v>
      </c>
      <c r="Z3" s="158">
        <v>10</v>
      </c>
      <c r="AA3" s="148">
        <v>1.69</v>
      </c>
      <c r="AB3" s="149">
        <v>4.7</v>
      </c>
    </row>
    <row r="4" spans="1:28">
      <c r="A4" s="149">
        <v>2.0099999999999998</v>
      </c>
      <c r="B4" s="149">
        <v>2.1800000000000002</v>
      </c>
      <c r="C4" s="149">
        <v>2.23</v>
      </c>
      <c r="D4" s="149">
        <v>2.16</v>
      </c>
      <c r="E4" s="149">
        <v>2.13</v>
      </c>
      <c r="F4" s="149">
        <v>1.97</v>
      </c>
      <c r="G4" s="149">
        <v>4.3899999999999997</v>
      </c>
      <c r="H4" s="149">
        <v>1.69</v>
      </c>
      <c r="I4" s="157">
        <v>10</v>
      </c>
      <c r="J4" s="149">
        <v>1.34</v>
      </c>
      <c r="K4" s="149">
        <v>11.71</v>
      </c>
      <c r="L4" s="149">
        <v>1.34</v>
      </c>
      <c r="M4" s="149">
        <v>10</v>
      </c>
      <c r="N4" s="160">
        <v>1.68</v>
      </c>
      <c r="O4" s="149">
        <v>4.1900000000000004</v>
      </c>
      <c r="P4" s="162">
        <v>0.26</v>
      </c>
      <c r="Q4" s="149">
        <v>0.32</v>
      </c>
      <c r="R4" s="149">
        <v>0.31</v>
      </c>
      <c r="S4" s="160">
        <v>0.25</v>
      </c>
      <c r="T4" s="149">
        <v>4.1900000000000004</v>
      </c>
      <c r="U4" s="149">
        <v>1.68</v>
      </c>
      <c r="V4" s="149">
        <v>10</v>
      </c>
      <c r="W4" s="149">
        <v>1.34</v>
      </c>
      <c r="X4" s="149">
        <v>11.71</v>
      </c>
      <c r="Y4" s="149">
        <v>1.34</v>
      </c>
      <c r="Z4" s="157">
        <v>10</v>
      </c>
      <c r="AA4" s="149">
        <v>1.69</v>
      </c>
      <c r="AB4" s="149">
        <v>4.3899999999999997</v>
      </c>
    </row>
    <row r="5" spans="1:28">
      <c r="A5" s="149">
        <v>1.86</v>
      </c>
      <c r="B5" s="149">
        <v>2.0299999999999998</v>
      </c>
      <c r="C5" s="149">
        <v>2.0699999999999998</v>
      </c>
      <c r="D5" s="149">
        <v>2.0099999999999998</v>
      </c>
      <c r="E5" s="149">
        <v>1.98</v>
      </c>
      <c r="F5" s="149">
        <v>1.83</v>
      </c>
      <c r="G5" s="149">
        <v>4.08</v>
      </c>
      <c r="H5" s="149">
        <v>1.69</v>
      </c>
      <c r="I5" s="157">
        <v>10</v>
      </c>
      <c r="J5" s="149">
        <v>1.34</v>
      </c>
      <c r="K5" s="149">
        <v>11.15</v>
      </c>
      <c r="L5" s="149">
        <v>1.34</v>
      </c>
      <c r="M5" s="149">
        <v>10</v>
      </c>
      <c r="N5" s="160">
        <v>1.68</v>
      </c>
      <c r="O5" s="149">
        <v>4.07</v>
      </c>
      <c r="P5" s="162">
        <v>0.4</v>
      </c>
      <c r="Q5" s="149">
        <v>0.47</v>
      </c>
      <c r="R5" s="149">
        <v>0.46</v>
      </c>
      <c r="S5" s="160">
        <v>0.39</v>
      </c>
      <c r="T5" s="149">
        <v>4.07</v>
      </c>
      <c r="U5" s="149">
        <v>1.68</v>
      </c>
      <c r="V5" s="149">
        <v>10</v>
      </c>
      <c r="W5" s="149">
        <v>1.34</v>
      </c>
      <c r="X5" s="149">
        <v>11.15</v>
      </c>
      <c r="Y5" s="149">
        <v>1.34</v>
      </c>
      <c r="Z5" s="157">
        <v>10</v>
      </c>
      <c r="AA5" s="149">
        <v>1.69</v>
      </c>
      <c r="AB5" s="149">
        <v>4.08</v>
      </c>
    </row>
    <row r="6" spans="1:28">
      <c r="A6" s="149">
        <v>1.72</v>
      </c>
      <c r="B6" s="149">
        <v>1.88</v>
      </c>
      <c r="C6" s="149">
        <v>1.92</v>
      </c>
      <c r="D6" s="149">
        <v>1.86</v>
      </c>
      <c r="E6" s="149">
        <v>1.83</v>
      </c>
      <c r="F6" s="149">
        <v>1.69</v>
      </c>
      <c r="G6" s="149">
        <v>3.78</v>
      </c>
      <c r="H6" s="149">
        <v>1.69</v>
      </c>
      <c r="I6" s="157">
        <v>10</v>
      </c>
      <c r="J6" s="149">
        <v>1.34</v>
      </c>
      <c r="K6" s="149">
        <v>10.58</v>
      </c>
      <c r="L6" s="149">
        <v>1.34</v>
      </c>
      <c r="M6" s="149">
        <v>10</v>
      </c>
      <c r="N6" s="160">
        <v>1.68</v>
      </c>
      <c r="O6" s="149">
        <v>3.96</v>
      </c>
      <c r="P6" s="162">
        <v>0.55000000000000004</v>
      </c>
      <c r="Q6" s="149">
        <v>0.61</v>
      </c>
      <c r="R6" s="149">
        <v>0.6</v>
      </c>
      <c r="S6" s="160">
        <v>0.53</v>
      </c>
      <c r="T6" s="149">
        <v>3.96</v>
      </c>
      <c r="U6" s="149">
        <v>1.68</v>
      </c>
      <c r="V6" s="149">
        <v>10</v>
      </c>
      <c r="W6" s="149">
        <v>1.34</v>
      </c>
      <c r="X6" s="149">
        <v>10.58</v>
      </c>
      <c r="Y6" s="149">
        <v>1.34</v>
      </c>
      <c r="Z6" s="157">
        <v>10</v>
      </c>
      <c r="AA6" s="149">
        <v>1.69</v>
      </c>
      <c r="AB6" s="149">
        <v>3.78</v>
      </c>
    </row>
    <row r="7" spans="1:28">
      <c r="A7" s="149">
        <v>1.58</v>
      </c>
      <c r="B7" s="149">
        <v>1.72</v>
      </c>
      <c r="C7" s="149">
        <v>1.77</v>
      </c>
      <c r="D7" s="149">
        <v>1.71</v>
      </c>
      <c r="E7" s="149">
        <v>1.68</v>
      </c>
      <c r="F7" s="149">
        <v>1.55</v>
      </c>
      <c r="G7" s="149">
        <v>3.47</v>
      </c>
      <c r="H7" s="149">
        <v>1.69</v>
      </c>
      <c r="I7" s="157">
        <v>10</v>
      </c>
      <c r="J7" s="149">
        <v>1.34</v>
      </c>
      <c r="K7" s="149">
        <v>10.02</v>
      </c>
      <c r="L7" s="149">
        <v>1.34</v>
      </c>
      <c r="M7" s="149">
        <v>10</v>
      </c>
      <c r="N7" s="160">
        <v>1.68</v>
      </c>
      <c r="O7" s="149">
        <v>3.85</v>
      </c>
      <c r="P7" s="162">
        <v>0.69</v>
      </c>
      <c r="Q7" s="149">
        <v>0.76</v>
      </c>
      <c r="R7" s="149">
        <v>0.75</v>
      </c>
      <c r="S7" s="160">
        <v>0.67</v>
      </c>
      <c r="T7" s="149">
        <v>3.84</v>
      </c>
      <c r="U7" s="149">
        <v>1.68</v>
      </c>
      <c r="V7" s="149">
        <v>10</v>
      </c>
      <c r="W7" s="149">
        <v>1.34</v>
      </c>
      <c r="X7" s="149">
        <v>10.02</v>
      </c>
      <c r="Y7" s="149">
        <v>1.34</v>
      </c>
      <c r="Z7" s="157">
        <v>10</v>
      </c>
      <c r="AA7" s="149">
        <v>1.69</v>
      </c>
      <c r="AB7" s="149">
        <v>3.47</v>
      </c>
    </row>
    <row r="8" spans="1:28">
      <c r="A8" s="149">
        <v>1.44</v>
      </c>
      <c r="B8" s="149">
        <v>1.57</v>
      </c>
      <c r="C8" s="149">
        <v>1.62</v>
      </c>
      <c r="D8" s="149">
        <v>1.57</v>
      </c>
      <c r="E8" s="149">
        <v>1.53</v>
      </c>
      <c r="F8" s="149">
        <v>1.41</v>
      </c>
      <c r="G8" s="149">
        <v>3.16</v>
      </c>
      <c r="H8" s="149">
        <v>1.69</v>
      </c>
      <c r="I8" s="157">
        <v>10</v>
      </c>
      <c r="J8" s="149">
        <v>1.34</v>
      </c>
      <c r="K8" s="149">
        <v>9.4499999999999993</v>
      </c>
      <c r="L8" s="149">
        <v>1.34</v>
      </c>
      <c r="M8" s="149">
        <v>10</v>
      </c>
      <c r="N8" s="160">
        <v>1.68</v>
      </c>
      <c r="O8" s="149">
        <v>3.74</v>
      </c>
      <c r="P8" s="162">
        <v>0.84</v>
      </c>
      <c r="Q8" s="149">
        <v>0.9</v>
      </c>
      <c r="R8" s="149">
        <v>0.89</v>
      </c>
      <c r="S8" s="160">
        <v>0.81</v>
      </c>
      <c r="T8" s="149">
        <v>3.73</v>
      </c>
      <c r="U8" s="149">
        <v>1.68</v>
      </c>
      <c r="V8" s="149">
        <v>10</v>
      </c>
      <c r="W8" s="149">
        <v>1.34</v>
      </c>
      <c r="X8" s="149">
        <v>9.4499999999999993</v>
      </c>
      <c r="Y8" s="149">
        <v>1.34</v>
      </c>
      <c r="Z8" s="157">
        <v>10</v>
      </c>
      <c r="AA8" s="149">
        <v>1.69</v>
      </c>
      <c r="AB8" s="149">
        <v>3.16</v>
      </c>
    </row>
    <row r="9" spans="1:28">
      <c r="A9" s="149">
        <v>1.29</v>
      </c>
      <c r="B9" s="149">
        <v>1.42</v>
      </c>
      <c r="C9" s="149">
        <v>1.46</v>
      </c>
      <c r="D9" s="149">
        <v>1.42</v>
      </c>
      <c r="E9" s="149">
        <v>1.38</v>
      </c>
      <c r="F9" s="149">
        <v>1.27</v>
      </c>
      <c r="G9" s="149">
        <v>2.85</v>
      </c>
      <c r="H9" s="149">
        <v>1.69</v>
      </c>
      <c r="I9" s="157">
        <v>10</v>
      </c>
      <c r="J9" s="149">
        <v>1.34</v>
      </c>
      <c r="K9" s="149">
        <v>8.89</v>
      </c>
      <c r="L9" s="149">
        <v>1.34</v>
      </c>
      <c r="M9" s="149">
        <v>10</v>
      </c>
      <c r="N9" s="160">
        <v>1.68</v>
      </c>
      <c r="O9" s="149">
        <v>3.63</v>
      </c>
      <c r="P9" s="162">
        <v>0.99</v>
      </c>
      <c r="Q9" s="149">
        <v>1.05</v>
      </c>
      <c r="R9" s="149">
        <v>1.04</v>
      </c>
      <c r="S9" s="160">
        <v>0.95</v>
      </c>
      <c r="T9" s="149">
        <v>3.62</v>
      </c>
      <c r="U9" s="149">
        <v>1.68</v>
      </c>
      <c r="V9" s="149">
        <v>10</v>
      </c>
      <c r="W9" s="149">
        <v>1.34</v>
      </c>
      <c r="X9" s="149">
        <v>8.89</v>
      </c>
      <c r="Y9" s="149">
        <v>1.34</v>
      </c>
      <c r="Z9" s="157">
        <v>10</v>
      </c>
      <c r="AA9" s="149">
        <v>1.69</v>
      </c>
      <c r="AB9" s="149">
        <v>2.85</v>
      </c>
    </row>
    <row r="10" spans="1:28">
      <c r="A10" s="149">
        <v>1.1499999999999999</v>
      </c>
      <c r="B10" s="149">
        <v>1.27</v>
      </c>
      <c r="C10" s="149">
        <v>1.31</v>
      </c>
      <c r="D10" s="149">
        <v>1.27</v>
      </c>
      <c r="E10" s="149">
        <v>1.23</v>
      </c>
      <c r="F10" s="149">
        <v>1.1299999999999999</v>
      </c>
      <c r="G10" s="149">
        <v>2.54</v>
      </c>
      <c r="H10" s="149">
        <v>1.69</v>
      </c>
      <c r="I10" s="157">
        <v>10</v>
      </c>
      <c r="J10" s="149">
        <v>1.34</v>
      </c>
      <c r="K10" s="149">
        <v>8.32</v>
      </c>
      <c r="L10" s="149">
        <v>1.34</v>
      </c>
      <c r="M10" s="149">
        <v>10</v>
      </c>
      <c r="N10" s="160">
        <v>1.68</v>
      </c>
      <c r="O10" s="149">
        <v>3.52</v>
      </c>
      <c r="P10" s="162">
        <v>1.1299999999999999</v>
      </c>
      <c r="Q10" s="149">
        <v>1.19</v>
      </c>
      <c r="R10" s="149">
        <v>1.18</v>
      </c>
      <c r="S10" s="160">
        <v>1.0900000000000001</v>
      </c>
      <c r="T10" s="149">
        <v>3.5</v>
      </c>
      <c r="U10" s="149">
        <v>1.68</v>
      </c>
      <c r="V10" s="149">
        <v>10</v>
      </c>
      <c r="W10" s="149">
        <v>1.34</v>
      </c>
      <c r="X10" s="149">
        <v>8.32</v>
      </c>
      <c r="Y10" s="149">
        <v>1.34</v>
      </c>
      <c r="Z10" s="157">
        <v>10</v>
      </c>
      <c r="AA10" s="149">
        <v>1.69</v>
      </c>
      <c r="AB10" s="149">
        <v>2.54</v>
      </c>
    </row>
    <row r="11" spans="1:28">
      <c r="A11" s="149">
        <v>1.01</v>
      </c>
      <c r="B11" s="149">
        <v>1.1200000000000001</v>
      </c>
      <c r="C11" s="149">
        <v>1.1599999999999999</v>
      </c>
      <c r="D11" s="149">
        <v>1.1200000000000001</v>
      </c>
      <c r="E11" s="149">
        <v>1.08</v>
      </c>
      <c r="F11" s="149">
        <v>0.99</v>
      </c>
      <c r="G11" s="149">
        <v>2.2400000000000002</v>
      </c>
      <c r="H11" s="149">
        <v>1.69</v>
      </c>
      <c r="I11" s="157">
        <v>10</v>
      </c>
      <c r="J11" s="149">
        <v>1.34</v>
      </c>
      <c r="K11" s="149">
        <v>7.76</v>
      </c>
      <c r="L11" s="149">
        <v>1.34</v>
      </c>
      <c r="M11" s="149">
        <v>10</v>
      </c>
      <c r="N11" s="160">
        <v>1.68</v>
      </c>
      <c r="O11" s="149">
        <v>3.41</v>
      </c>
      <c r="P11" s="162">
        <v>1.28</v>
      </c>
      <c r="Q11" s="149">
        <v>1.34</v>
      </c>
      <c r="R11" s="149">
        <v>1.33</v>
      </c>
      <c r="S11" s="160">
        <v>1.23</v>
      </c>
      <c r="T11" s="149">
        <v>3.39</v>
      </c>
      <c r="U11" s="149">
        <v>1.68</v>
      </c>
      <c r="V11" s="149">
        <v>10</v>
      </c>
      <c r="W11" s="149">
        <v>1.34</v>
      </c>
      <c r="X11" s="149">
        <v>7.76</v>
      </c>
      <c r="Y11" s="149">
        <v>1.34</v>
      </c>
      <c r="Z11" s="157">
        <v>10</v>
      </c>
      <c r="AA11" s="149">
        <v>1.69</v>
      </c>
      <c r="AB11" s="149">
        <v>2.2400000000000002</v>
      </c>
    </row>
    <row r="12" spans="1:28">
      <c r="A12" s="149">
        <v>0.87</v>
      </c>
      <c r="B12" s="149">
        <v>0.97</v>
      </c>
      <c r="C12" s="149">
        <v>1</v>
      </c>
      <c r="D12" s="149">
        <v>0.97</v>
      </c>
      <c r="E12" s="149">
        <v>0.93</v>
      </c>
      <c r="F12" s="149">
        <v>0.85</v>
      </c>
      <c r="G12" s="149">
        <v>1.93</v>
      </c>
      <c r="H12" s="149">
        <v>1.69</v>
      </c>
      <c r="I12" s="157">
        <v>10</v>
      </c>
      <c r="J12" s="149">
        <v>1.34</v>
      </c>
      <c r="K12" s="149">
        <v>7.19</v>
      </c>
      <c r="L12" s="149">
        <v>1.34</v>
      </c>
      <c r="M12" s="149">
        <v>10</v>
      </c>
      <c r="N12" s="160">
        <v>1.68</v>
      </c>
      <c r="O12" s="149">
        <v>3.3</v>
      </c>
      <c r="P12" s="162">
        <v>1.42</v>
      </c>
      <c r="Q12" s="149">
        <v>1.48</v>
      </c>
      <c r="R12" s="149">
        <v>1.48</v>
      </c>
      <c r="S12" s="160">
        <v>1.37</v>
      </c>
      <c r="T12" s="149">
        <v>3.27</v>
      </c>
      <c r="U12" s="149">
        <v>1.68</v>
      </c>
      <c r="V12" s="149">
        <v>10</v>
      </c>
      <c r="W12" s="149">
        <v>1.34</v>
      </c>
      <c r="X12" s="149">
        <v>7.19</v>
      </c>
      <c r="Y12" s="149">
        <v>1.34</v>
      </c>
      <c r="Z12" s="157">
        <v>10</v>
      </c>
      <c r="AA12" s="149">
        <v>1.69</v>
      </c>
      <c r="AB12" s="149">
        <v>1.93</v>
      </c>
    </row>
    <row r="13" spans="1:28">
      <c r="A13" s="149">
        <v>0.72</v>
      </c>
      <c r="B13" s="149">
        <v>0.81</v>
      </c>
      <c r="C13" s="149">
        <v>0.85</v>
      </c>
      <c r="D13" s="149">
        <v>0.82</v>
      </c>
      <c r="E13" s="149">
        <v>0.78</v>
      </c>
      <c r="F13" s="149">
        <v>0.7</v>
      </c>
      <c r="G13" s="149">
        <v>1.62</v>
      </c>
      <c r="H13" s="149">
        <v>1.69</v>
      </c>
      <c r="I13" s="157">
        <v>10</v>
      </c>
      <c r="J13" s="149">
        <v>1.34</v>
      </c>
      <c r="K13" s="149">
        <v>6.63</v>
      </c>
      <c r="L13" s="149">
        <v>1.34</v>
      </c>
      <c r="M13" s="149">
        <v>10</v>
      </c>
      <c r="N13" s="160">
        <v>1.68</v>
      </c>
      <c r="O13" s="149">
        <v>3.19</v>
      </c>
      <c r="P13" s="162">
        <v>1.57</v>
      </c>
      <c r="Q13" s="149">
        <v>1.63</v>
      </c>
      <c r="R13" s="149">
        <v>1.62</v>
      </c>
      <c r="S13" s="160">
        <v>1.51</v>
      </c>
      <c r="T13" s="149">
        <v>3.16</v>
      </c>
      <c r="U13" s="149">
        <v>1.68</v>
      </c>
      <c r="V13" s="149">
        <v>10</v>
      </c>
      <c r="W13" s="149">
        <v>1.34</v>
      </c>
      <c r="X13" s="149">
        <v>6.63</v>
      </c>
      <c r="Y13" s="149">
        <v>1.34</v>
      </c>
      <c r="Z13" s="157">
        <v>10</v>
      </c>
      <c r="AA13" s="149">
        <v>1.69</v>
      </c>
      <c r="AB13" s="149">
        <v>1.62</v>
      </c>
    </row>
    <row r="14" spans="1:28">
      <c r="A14" s="149">
        <v>0.57999999999999996</v>
      </c>
      <c r="B14" s="149">
        <v>0.66</v>
      </c>
      <c r="C14" s="149">
        <v>0.7</v>
      </c>
      <c r="D14" s="149">
        <v>0.67</v>
      </c>
      <c r="E14" s="149">
        <v>0.63</v>
      </c>
      <c r="F14" s="149">
        <v>0.56000000000000005</v>
      </c>
      <c r="G14" s="149">
        <v>1.31</v>
      </c>
      <c r="H14" s="149">
        <v>1.69</v>
      </c>
      <c r="I14" s="157">
        <v>10</v>
      </c>
      <c r="J14" s="149">
        <v>1.34</v>
      </c>
      <c r="K14" s="149">
        <v>6.06</v>
      </c>
      <c r="L14" s="149">
        <v>1.34</v>
      </c>
      <c r="M14" s="149">
        <v>10</v>
      </c>
      <c r="N14" s="160">
        <v>1.68</v>
      </c>
      <c r="O14" s="149">
        <v>3.07</v>
      </c>
      <c r="P14" s="162">
        <v>1.72</v>
      </c>
      <c r="Q14" s="149">
        <v>1.77</v>
      </c>
      <c r="R14" s="149">
        <v>1.77</v>
      </c>
      <c r="S14" s="160">
        <v>1.65</v>
      </c>
      <c r="T14" s="149">
        <v>3.05</v>
      </c>
      <c r="U14" s="149">
        <v>1.68</v>
      </c>
      <c r="V14" s="149">
        <v>10</v>
      </c>
      <c r="W14" s="149">
        <v>1.34</v>
      </c>
      <c r="X14" s="149">
        <v>6.06</v>
      </c>
      <c r="Y14" s="149">
        <v>1.34</v>
      </c>
      <c r="Z14" s="157">
        <v>10</v>
      </c>
      <c r="AA14" s="149">
        <v>1.69</v>
      </c>
      <c r="AB14" s="149">
        <v>1.31</v>
      </c>
    </row>
    <row r="15" spans="1:28">
      <c r="A15" s="149">
        <v>0.44</v>
      </c>
      <c r="B15" s="149">
        <v>0.51</v>
      </c>
      <c r="C15" s="149">
        <v>0.54</v>
      </c>
      <c r="D15" s="149">
        <v>0.52</v>
      </c>
      <c r="E15" s="149">
        <v>0.48</v>
      </c>
      <c r="F15" s="149">
        <v>0.42</v>
      </c>
      <c r="G15" s="149">
        <v>1.01</v>
      </c>
      <c r="H15" s="149">
        <v>1.69</v>
      </c>
      <c r="I15" s="157">
        <v>10</v>
      </c>
      <c r="J15" s="149">
        <v>1.34</v>
      </c>
      <c r="K15" s="149">
        <v>5.5</v>
      </c>
      <c r="L15" s="149">
        <v>1.34</v>
      </c>
      <c r="M15" s="149">
        <v>10</v>
      </c>
      <c r="N15" s="160">
        <v>1.68</v>
      </c>
      <c r="O15" s="149">
        <v>2.96</v>
      </c>
      <c r="P15" s="162">
        <v>1.86</v>
      </c>
      <c r="Q15" s="149">
        <v>1.92</v>
      </c>
      <c r="R15" s="149">
        <v>1.91</v>
      </c>
      <c r="S15" s="160">
        <v>1.79</v>
      </c>
      <c r="T15" s="149">
        <v>2.93</v>
      </c>
      <c r="U15" s="149">
        <v>1.68</v>
      </c>
      <c r="V15" s="149">
        <v>10</v>
      </c>
      <c r="W15" s="149">
        <v>1.34</v>
      </c>
      <c r="X15" s="149">
        <v>5.5</v>
      </c>
      <c r="Y15" s="149">
        <v>1.34</v>
      </c>
      <c r="Z15" s="157">
        <v>10</v>
      </c>
      <c r="AA15" s="149">
        <v>1.69</v>
      </c>
      <c r="AB15" s="149">
        <v>1.01</v>
      </c>
    </row>
    <row r="16" spans="1:28">
      <c r="A16" s="149">
        <v>0.3</v>
      </c>
      <c r="B16" s="149">
        <v>0.36</v>
      </c>
      <c r="C16" s="149">
        <v>0.39</v>
      </c>
      <c r="D16" s="149">
        <v>0.38</v>
      </c>
      <c r="E16" s="149">
        <v>0.33</v>
      </c>
      <c r="F16" s="149">
        <v>0.28000000000000003</v>
      </c>
      <c r="G16" s="149">
        <v>0.7</v>
      </c>
      <c r="H16" s="149">
        <v>1.69</v>
      </c>
      <c r="I16" s="157">
        <v>10</v>
      </c>
      <c r="J16" s="149">
        <v>1.34</v>
      </c>
      <c r="K16" s="149">
        <v>4.93</v>
      </c>
      <c r="L16" s="149">
        <v>1.34</v>
      </c>
      <c r="M16" s="149">
        <v>10</v>
      </c>
      <c r="N16" s="160">
        <v>1.68</v>
      </c>
      <c r="O16" s="149">
        <v>2.85</v>
      </c>
      <c r="P16" s="162">
        <v>2.0099999999999998</v>
      </c>
      <c r="Q16" s="149">
        <v>2.06</v>
      </c>
      <c r="R16" s="149">
        <v>2.06</v>
      </c>
      <c r="S16" s="160">
        <v>1.93</v>
      </c>
      <c r="T16" s="149">
        <v>2.82</v>
      </c>
      <c r="U16" s="149">
        <v>1.68</v>
      </c>
      <c r="V16" s="149">
        <v>10</v>
      </c>
      <c r="W16" s="149">
        <v>1.34</v>
      </c>
      <c r="X16" s="149">
        <v>4.93</v>
      </c>
      <c r="Y16" s="149">
        <v>1.34</v>
      </c>
      <c r="Z16" s="157">
        <v>10</v>
      </c>
      <c r="AA16" s="149">
        <v>1.69</v>
      </c>
      <c r="AB16" s="149">
        <v>0.7</v>
      </c>
    </row>
    <row r="17" spans="1:28">
      <c r="A17" s="150">
        <v>0.15</v>
      </c>
      <c r="B17" s="150">
        <v>0.21</v>
      </c>
      <c r="C17" s="150">
        <v>0.24</v>
      </c>
      <c r="D17" s="150">
        <v>0.23</v>
      </c>
      <c r="E17" s="150">
        <v>0.18</v>
      </c>
      <c r="F17" s="150">
        <v>0.14000000000000001</v>
      </c>
      <c r="G17" s="149">
        <v>0.39</v>
      </c>
      <c r="H17" s="149">
        <v>1.69</v>
      </c>
      <c r="I17" s="157">
        <v>10</v>
      </c>
      <c r="J17" s="149">
        <v>1.34</v>
      </c>
      <c r="K17" s="149">
        <v>4.3600000000000003</v>
      </c>
      <c r="L17" s="149">
        <v>1.34</v>
      </c>
      <c r="M17" s="149">
        <v>10</v>
      </c>
      <c r="N17" s="160">
        <v>1.68</v>
      </c>
      <c r="O17" s="149">
        <v>2.74</v>
      </c>
      <c r="P17" s="162">
        <v>2.16</v>
      </c>
      <c r="Q17" s="149">
        <v>2.21</v>
      </c>
      <c r="R17" s="149">
        <v>2.2000000000000002</v>
      </c>
      <c r="S17" s="160">
        <v>2.0699999999999998</v>
      </c>
      <c r="T17" s="149">
        <v>2.7</v>
      </c>
      <c r="U17" s="149">
        <v>1.68</v>
      </c>
      <c r="V17" s="149">
        <v>10</v>
      </c>
      <c r="W17" s="149">
        <v>1.34</v>
      </c>
      <c r="X17" s="149">
        <v>4.3600000000000003</v>
      </c>
      <c r="Y17" s="149">
        <v>1.34</v>
      </c>
      <c r="Z17" s="157">
        <v>10</v>
      </c>
      <c r="AA17" s="149">
        <v>1.69</v>
      </c>
      <c r="AB17" s="149">
        <v>0.39</v>
      </c>
    </row>
    <row r="18" spans="1:28">
      <c r="A18" s="140">
        <f t="shared" ref="A18:F18" si="0">SUM(A3:A17)</f>
        <v>17.27</v>
      </c>
      <c r="B18" s="140">
        <f t="shared" si="0"/>
        <v>19.04</v>
      </c>
      <c r="C18" s="140">
        <f t="shared" si="0"/>
        <v>19.64</v>
      </c>
      <c r="D18" s="140">
        <f t="shared" si="0"/>
        <v>19.02</v>
      </c>
      <c r="E18" s="140">
        <f t="shared" si="0"/>
        <v>18.45</v>
      </c>
      <c r="F18" s="140">
        <f t="shared" si="0"/>
        <v>16.900000000000002</v>
      </c>
      <c r="G18" s="140">
        <f>SUM(G3:G17)</f>
        <v>38.17</v>
      </c>
      <c r="H18" s="149">
        <v>1.69</v>
      </c>
      <c r="I18" s="157">
        <v>10</v>
      </c>
      <c r="J18" s="149">
        <v>1.34</v>
      </c>
      <c r="K18" s="149">
        <v>3.8</v>
      </c>
      <c r="L18" s="149">
        <v>1.34</v>
      </c>
      <c r="M18" s="149">
        <v>10</v>
      </c>
      <c r="N18" s="160">
        <v>1.68</v>
      </c>
      <c r="O18" s="149">
        <v>2.63</v>
      </c>
      <c r="P18" s="164">
        <v>2.2999999999999998</v>
      </c>
      <c r="Q18" s="150">
        <v>2.35</v>
      </c>
      <c r="R18" s="150">
        <v>2.35</v>
      </c>
      <c r="S18" s="161">
        <v>2.21</v>
      </c>
      <c r="T18" s="149">
        <v>2.59</v>
      </c>
      <c r="U18" s="149">
        <v>1.68</v>
      </c>
      <c r="V18" s="149">
        <v>10</v>
      </c>
      <c r="W18" s="149">
        <v>1.34</v>
      </c>
      <c r="X18" s="149">
        <v>3.8</v>
      </c>
      <c r="Y18" s="149">
        <v>1.34</v>
      </c>
      <c r="Z18" s="157">
        <v>10</v>
      </c>
      <c r="AA18" s="149">
        <v>1.69</v>
      </c>
      <c r="AB18" s="140">
        <f>SUM(AB3:AB17)</f>
        <v>38.17</v>
      </c>
    </row>
    <row r="19" spans="1:28">
      <c r="H19" s="149">
        <v>1.69</v>
      </c>
      <c r="I19" s="157">
        <v>10</v>
      </c>
      <c r="J19" s="149">
        <v>1.34</v>
      </c>
      <c r="K19" s="149">
        <v>3.23</v>
      </c>
      <c r="L19" s="149">
        <v>1.34</v>
      </c>
      <c r="M19" s="149">
        <v>10</v>
      </c>
      <c r="N19" s="160">
        <v>1.68</v>
      </c>
      <c r="O19" s="149">
        <v>2.41</v>
      </c>
      <c r="P19" s="156">
        <f>SUM(P3:P18)</f>
        <v>19.290000000000003</v>
      </c>
      <c r="Q19" s="140">
        <f>SUM(Q3:Q18)</f>
        <v>20.240000000000002</v>
      </c>
      <c r="R19" s="140">
        <f>SUM(R3:R18)</f>
        <v>20.120000000000005</v>
      </c>
      <c r="S19" s="155">
        <f>SUM(S3:S18)</f>
        <v>18.560000000000002</v>
      </c>
      <c r="T19" s="149">
        <v>2.44</v>
      </c>
      <c r="U19" s="149">
        <v>1.68</v>
      </c>
      <c r="V19" s="149">
        <v>10</v>
      </c>
      <c r="W19" s="149">
        <v>1.34</v>
      </c>
      <c r="X19" s="149">
        <v>3.23</v>
      </c>
      <c r="Y19" s="149">
        <v>1.34</v>
      </c>
      <c r="Z19" s="157">
        <v>10</v>
      </c>
      <c r="AA19" s="149">
        <v>1.69</v>
      </c>
    </row>
    <row r="20" spans="1:28">
      <c r="H20" s="149">
        <v>1.69</v>
      </c>
      <c r="I20" s="157">
        <v>10</v>
      </c>
      <c r="J20" s="149">
        <v>1.34</v>
      </c>
      <c r="K20" s="149">
        <v>2.67</v>
      </c>
      <c r="L20" s="149">
        <v>1.34</v>
      </c>
      <c r="M20" s="149">
        <v>10</v>
      </c>
      <c r="N20" s="160">
        <v>1.68</v>
      </c>
      <c r="O20" s="149">
        <v>1.69</v>
      </c>
      <c r="T20" s="149">
        <v>1.71</v>
      </c>
      <c r="U20" s="149">
        <v>1.68</v>
      </c>
      <c r="V20" s="149">
        <v>10</v>
      </c>
      <c r="W20" s="149">
        <v>1.34</v>
      </c>
      <c r="X20" s="149">
        <v>2.67</v>
      </c>
      <c r="Y20" s="149">
        <v>1.34</v>
      </c>
      <c r="Z20" s="157">
        <v>10</v>
      </c>
      <c r="AA20" s="149">
        <v>1.69</v>
      </c>
    </row>
    <row r="21" spans="1:28">
      <c r="H21" s="149">
        <v>1.69</v>
      </c>
      <c r="I21" s="157">
        <v>10</v>
      </c>
      <c r="J21" s="149">
        <v>1.34</v>
      </c>
      <c r="K21" s="149">
        <v>2.1</v>
      </c>
      <c r="L21" s="149">
        <v>1.34</v>
      </c>
      <c r="M21" s="149">
        <v>10</v>
      </c>
      <c r="N21" s="160">
        <v>1.68</v>
      </c>
      <c r="O21" s="149">
        <v>0.98</v>
      </c>
      <c r="T21" s="149">
        <v>0.98</v>
      </c>
      <c r="U21" s="149">
        <v>1.68</v>
      </c>
      <c r="V21" s="149">
        <v>10</v>
      </c>
      <c r="W21" s="149">
        <v>1.34</v>
      </c>
      <c r="X21" s="149">
        <v>2.1</v>
      </c>
      <c r="Y21" s="149">
        <v>1.34</v>
      </c>
      <c r="Z21" s="157">
        <v>10</v>
      </c>
      <c r="AA21" s="149">
        <v>1.69</v>
      </c>
    </row>
    <row r="22" spans="1:28">
      <c r="H22" s="149">
        <v>1.69</v>
      </c>
      <c r="I22" s="157">
        <v>10</v>
      </c>
      <c r="J22" s="149">
        <v>1.34</v>
      </c>
      <c r="K22" s="149">
        <v>1.54</v>
      </c>
      <c r="L22" s="149">
        <v>1.34</v>
      </c>
      <c r="M22" s="149">
        <v>10</v>
      </c>
      <c r="N22" s="160">
        <v>1.68</v>
      </c>
      <c r="O22" s="150">
        <v>0.26</v>
      </c>
      <c r="T22" s="150">
        <v>0.25</v>
      </c>
      <c r="U22" s="149">
        <v>1.68</v>
      </c>
      <c r="V22" s="149">
        <v>10</v>
      </c>
      <c r="W22" s="149">
        <v>1.34</v>
      </c>
      <c r="X22" s="149">
        <v>1.54</v>
      </c>
      <c r="Y22" s="149">
        <v>1.34</v>
      </c>
      <c r="Z22" s="157">
        <v>10</v>
      </c>
      <c r="AA22" s="149">
        <v>1.69</v>
      </c>
    </row>
    <row r="23" spans="1:28">
      <c r="H23" s="149">
        <v>1.69</v>
      </c>
      <c r="I23" s="157">
        <v>10</v>
      </c>
      <c r="J23" s="149">
        <v>1.34</v>
      </c>
      <c r="K23" s="149">
        <v>0.97</v>
      </c>
      <c r="L23" s="149">
        <v>1.34</v>
      </c>
      <c r="M23" s="149">
        <v>10</v>
      </c>
      <c r="N23" s="149">
        <v>1.68</v>
      </c>
      <c r="O23" s="150">
        <f>SUM(O3:O22)</f>
        <v>60.75</v>
      </c>
      <c r="T23" s="140">
        <f>SUM(T3:T22)</f>
        <v>60.5</v>
      </c>
      <c r="U23" s="149">
        <v>1.68</v>
      </c>
      <c r="V23" s="149">
        <v>10</v>
      </c>
      <c r="W23" s="149">
        <v>1.34</v>
      </c>
      <c r="X23" s="149">
        <v>0.97</v>
      </c>
      <c r="Y23" s="149">
        <v>1.34</v>
      </c>
      <c r="Z23" s="157">
        <v>10</v>
      </c>
      <c r="AA23" s="149">
        <v>1.69</v>
      </c>
    </row>
    <row r="24" spans="1:28">
      <c r="H24" s="149">
        <v>1.69</v>
      </c>
      <c r="I24" s="159">
        <v>10</v>
      </c>
      <c r="J24" s="149">
        <v>1.34</v>
      </c>
      <c r="K24" s="150">
        <v>0.41</v>
      </c>
      <c r="L24" s="149">
        <v>1.34</v>
      </c>
      <c r="M24" s="150">
        <v>10</v>
      </c>
      <c r="N24" s="149">
        <v>1.68</v>
      </c>
      <c r="U24" s="149">
        <v>1.68</v>
      </c>
      <c r="V24" s="150">
        <v>10</v>
      </c>
      <c r="W24" s="149">
        <v>1.34</v>
      </c>
      <c r="X24" s="150">
        <v>0.41</v>
      </c>
      <c r="Y24" s="149">
        <v>1.34</v>
      </c>
      <c r="Z24" s="159">
        <v>10</v>
      </c>
      <c r="AA24" s="149">
        <v>1.69</v>
      </c>
    </row>
    <row r="25" spans="1:28">
      <c r="H25" s="149">
        <v>1.69</v>
      </c>
      <c r="I25" s="153">
        <f>SUM(I3:I24)</f>
        <v>220</v>
      </c>
      <c r="J25" s="149">
        <v>1.34</v>
      </c>
      <c r="K25" s="140">
        <f>SUM(K3:K24)</f>
        <v>139.54999999999995</v>
      </c>
      <c r="L25" s="149">
        <v>1.34</v>
      </c>
      <c r="M25" s="140">
        <f>SUM(M3:M24)</f>
        <v>220</v>
      </c>
      <c r="N25" s="149">
        <v>1.68</v>
      </c>
      <c r="U25" s="149">
        <v>1.68</v>
      </c>
      <c r="V25" s="140">
        <f>SUM(V3:V24)</f>
        <v>220</v>
      </c>
      <c r="W25" s="149">
        <v>1.34</v>
      </c>
      <c r="X25" s="140">
        <f>SUM(X3:X24)</f>
        <v>139.54999999999995</v>
      </c>
      <c r="Y25" s="149">
        <v>1.34</v>
      </c>
      <c r="Z25" s="153">
        <f>SUM(Z3:Z24)</f>
        <v>220</v>
      </c>
      <c r="AA25" s="149">
        <v>1.69</v>
      </c>
    </row>
    <row r="26" spans="1:28">
      <c r="H26" s="149">
        <v>1.69</v>
      </c>
      <c r="J26" s="149">
        <v>1.34</v>
      </c>
      <c r="L26" s="149">
        <v>1.34</v>
      </c>
      <c r="N26" s="149">
        <v>1.68</v>
      </c>
      <c r="U26" s="149">
        <v>1.68</v>
      </c>
      <c r="W26" s="149">
        <v>1.34</v>
      </c>
      <c r="Y26" s="149">
        <v>1.34</v>
      </c>
      <c r="AA26" s="149">
        <v>1.69</v>
      </c>
    </row>
    <row r="27" spans="1:28">
      <c r="H27" s="149">
        <v>1.69</v>
      </c>
      <c r="J27" s="149">
        <v>1.34</v>
      </c>
      <c r="L27" s="149">
        <v>1.34</v>
      </c>
      <c r="N27" s="149">
        <v>1.68</v>
      </c>
      <c r="U27" s="149">
        <v>1.68</v>
      </c>
      <c r="W27" s="149">
        <v>1.34</v>
      </c>
      <c r="Y27" s="149">
        <v>1.34</v>
      </c>
      <c r="AA27" s="149">
        <v>1.69</v>
      </c>
    </row>
    <row r="28" spans="1:28">
      <c r="H28" s="149">
        <v>1.69</v>
      </c>
      <c r="J28" s="149">
        <v>1.34</v>
      </c>
      <c r="L28" s="149">
        <v>1.34</v>
      </c>
      <c r="N28" s="149">
        <v>1.68</v>
      </c>
      <c r="U28" s="149">
        <v>1.68</v>
      </c>
      <c r="W28" s="149">
        <v>1.34</v>
      </c>
      <c r="Y28" s="149">
        <v>1.34</v>
      </c>
      <c r="AA28" s="149">
        <v>1.69</v>
      </c>
    </row>
    <row r="29" spans="1:28">
      <c r="H29" s="149">
        <v>1.69</v>
      </c>
      <c r="J29" s="149">
        <v>1.34</v>
      </c>
      <c r="L29" s="149">
        <v>1.34</v>
      </c>
      <c r="N29" s="149">
        <v>1.68</v>
      </c>
      <c r="U29" s="149">
        <v>1.68</v>
      </c>
      <c r="W29" s="149">
        <v>1.34</v>
      </c>
      <c r="Y29" s="149">
        <v>1.34</v>
      </c>
      <c r="AA29" s="149">
        <v>1.69</v>
      </c>
    </row>
    <row r="30" spans="1:28">
      <c r="H30" s="149">
        <v>1.69</v>
      </c>
      <c r="J30" s="149">
        <v>1.34</v>
      </c>
      <c r="L30" s="149">
        <v>1.34</v>
      </c>
      <c r="N30" s="149">
        <v>1.68</v>
      </c>
      <c r="U30" s="149">
        <v>1.68</v>
      </c>
      <c r="W30" s="149">
        <v>1.34</v>
      </c>
      <c r="Y30" s="149">
        <v>1.34</v>
      </c>
      <c r="AA30" s="149">
        <v>1.69</v>
      </c>
    </row>
    <row r="31" spans="1:28">
      <c r="H31" s="150">
        <v>1.69</v>
      </c>
      <c r="J31" s="150">
        <v>1.34</v>
      </c>
      <c r="L31" s="150">
        <v>1.34</v>
      </c>
      <c r="N31" s="149">
        <v>1.68</v>
      </c>
      <c r="U31" s="149">
        <v>1.68</v>
      </c>
      <c r="W31" s="150">
        <v>1.34</v>
      </c>
      <c r="Y31" s="150">
        <v>1.34</v>
      </c>
      <c r="AA31" s="150">
        <v>1.69</v>
      </c>
    </row>
    <row r="32" spans="1:28">
      <c r="H32" s="140">
        <f>SUM(H3:H31)</f>
        <v>49.009999999999984</v>
      </c>
      <c r="J32" s="140">
        <f>SUM(J3:J31)</f>
        <v>38.860000000000021</v>
      </c>
      <c r="L32" s="140">
        <f>SUM(L3:L31)</f>
        <v>38.860000000000021</v>
      </c>
      <c r="N32" s="149">
        <v>1.68</v>
      </c>
      <c r="U32" s="150">
        <v>1.68</v>
      </c>
      <c r="W32" s="140">
        <f>SUM(W3:W31)</f>
        <v>38.860000000000021</v>
      </c>
      <c r="Y32" s="140">
        <f>SUM(Y3:Y31)</f>
        <v>38.860000000000021</v>
      </c>
      <c r="AA32" s="140">
        <f>SUM(AA3:AA31)</f>
        <v>49.009999999999984</v>
      </c>
    </row>
    <row r="33" spans="1:21">
      <c r="N33" s="140">
        <f>SUM(N3:N32)</f>
        <v>50.4</v>
      </c>
      <c r="U33" s="140">
        <f>SUM(U3:U32)</f>
        <v>50.4</v>
      </c>
    </row>
    <row r="40" spans="1:21">
      <c r="A40" t="s">
        <v>103</v>
      </c>
      <c r="B40">
        <f>A18+B18+C18+D18+E18+F18+G18+H32+I25+J32+K25+L32+M25+N33+O23+P19+Q19+R19+S19+T23+U33+V25+W32+X25+Y32+Z25+AA32+AB18</f>
        <v>1899.4800000000002</v>
      </c>
      <c r="C40" t="s">
        <v>8</v>
      </c>
    </row>
    <row r="43" spans="1:21">
      <c r="A43" s="177" t="s">
        <v>106</v>
      </c>
      <c r="B43" s="178"/>
      <c r="C43" s="179"/>
      <c r="F43" s="177" t="s">
        <v>45</v>
      </c>
      <c r="G43" s="178"/>
      <c r="H43" s="179"/>
      <c r="L43" s="177" t="s">
        <v>108</v>
      </c>
      <c r="M43" s="178"/>
      <c r="N43" s="179"/>
      <c r="Q43" s="177" t="s">
        <v>44</v>
      </c>
      <c r="R43" s="178"/>
      <c r="S43" s="179"/>
    </row>
    <row r="44" spans="1:21">
      <c r="A44">
        <v>1</v>
      </c>
      <c r="B44">
        <v>5.19</v>
      </c>
      <c r="G44">
        <v>10.199999999999999</v>
      </c>
      <c r="M44">
        <v>5.08</v>
      </c>
      <c r="R44">
        <v>4.3</v>
      </c>
    </row>
    <row r="45" spans="1:21">
      <c r="A45">
        <v>2</v>
      </c>
      <c r="B45">
        <v>5.73</v>
      </c>
      <c r="G45">
        <v>1.54</v>
      </c>
      <c r="M45">
        <v>5.3</v>
      </c>
      <c r="R45">
        <v>10</v>
      </c>
    </row>
    <row r="46" spans="1:21">
      <c r="A46">
        <v>3</v>
      </c>
      <c r="B46">
        <v>5.93</v>
      </c>
      <c r="G46">
        <v>12.35</v>
      </c>
      <c r="M46">
        <v>5.35</v>
      </c>
      <c r="R46">
        <v>10</v>
      </c>
    </row>
    <row r="47" spans="1:21">
      <c r="A47">
        <v>4</v>
      </c>
      <c r="B47">
        <v>5.74</v>
      </c>
      <c r="G47">
        <v>1.54</v>
      </c>
      <c r="M47">
        <v>5.25</v>
      </c>
      <c r="R47">
        <v>4.7</v>
      </c>
    </row>
    <row r="48" spans="1:21">
      <c r="A48">
        <v>5</v>
      </c>
      <c r="B48">
        <v>5.55</v>
      </c>
      <c r="G48">
        <v>10.199999999999999</v>
      </c>
      <c r="M48">
        <v>5.0999999999999996</v>
      </c>
      <c r="R48">
        <v>1</v>
      </c>
    </row>
    <row r="49" spans="1:18">
      <c r="A49">
        <v>6</v>
      </c>
      <c r="B49">
        <v>5.07</v>
      </c>
      <c r="G49">
        <v>1.9</v>
      </c>
      <c r="M49">
        <v>9.25</v>
      </c>
      <c r="R49">
        <f>SUM(R44:R48)</f>
        <v>30</v>
      </c>
    </row>
    <row r="50" spans="1:18">
      <c r="A50">
        <v>7</v>
      </c>
      <c r="B50">
        <v>11.48</v>
      </c>
      <c r="G50">
        <v>12.84</v>
      </c>
      <c r="M50">
        <v>9.25</v>
      </c>
    </row>
    <row r="51" spans="1:18">
      <c r="A51">
        <v>8</v>
      </c>
      <c r="B51">
        <v>15.45</v>
      </c>
      <c r="G51">
        <v>1.9</v>
      </c>
      <c r="M51">
        <v>9.25</v>
      </c>
    </row>
    <row r="52" spans="1:18">
      <c r="A52">
        <v>9</v>
      </c>
      <c r="B52">
        <v>65.66</v>
      </c>
      <c r="G52">
        <v>10.199999999999999</v>
      </c>
      <c r="M52">
        <v>9.25</v>
      </c>
    </row>
    <row r="53" spans="1:18">
      <c r="A53">
        <v>10</v>
      </c>
      <c r="B53">
        <v>12.25</v>
      </c>
      <c r="G53">
        <v>1.54</v>
      </c>
      <c r="M53">
        <v>9.23</v>
      </c>
    </row>
    <row r="54" spans="1:18">
      <c r="A54">
        <v>11</v>
      </c>
      <c r="B54">
        <v>42.67</v>
      </c>
      <c r="G54">
        <v>12.35</v>
      </c>
      <c r="M54">
        <v>9.23</v>
      </c>
    </row>
    <row r="55" spans="1:18">
      <c r="A55">
        <v>12</v>
      </c>
      <c r="B55">
        <v>12.25</v>
      </c>
      <c r="G55">
        <v>1.54</v>
      </c>
      <c r="M55">
        <v>9.35</v>
      </c>
    </row>
    <row r="56" spans="1:18">
      <c r="A56">
        <v>13</v>
      </c>
      <c r="B56">
        <v>65.66</v>
      </c>
      <c r="G56">
        <v>10.199999999999999</v>
      </c>
      <c r="M56">
        <v>9.35</v>
      </c>
    </row>
    <row r="57" spans="1:18">
      <c r="A57">
        <v>14</v>
      </c>
      <c r="B57">
        <v>15.36</v>
      </c>
      <c r="G57">
        <v>1.9</v>
      </c>
      <c r="M57">
        <v>4.9000000000000004</v>
      </c>
    </row>
    <row r="58" spans="1:18">
      <c r="A58">
        <v>15</v>
      </c>
      <c r="B58">
        <v>18.78</v>
      </c>
      <c r="G58">
        <v>12.86</v>
      </c>
      <c r="M58">
        <v>5</v>
      </c>
    </row>
    <row r="59" spans="1:18">
      <c r="A59">
        <v>16</v>
      </c>
      <c r="B59">
        <v>5.8</v>
      </c>
      <c r="G59">
        <v>1.9</v>
      </c>
      <c r="M59">
        <v>5.12</v>
      </c>
    </row>
    <row r="60" spans="1:18">
      <c r="A60">
        <v>17</v>
      </c>
      <c r="B60">
        <v>6.1</v>
      </c>
      <c r="G60">
        <v>6.52</v>
      </c>
      <c r="M60">
        <v>5.12</v>
      </c>
    </row>
    <row r="61" spans="1:18">
      <c r="A61">
        <v>18</v>
      </c>
      <c r="B61">
        <v>5.92</v>
      </c>
      <c r="G61">
        <v>9.35</v>
      </c>
      <c r="M61">
        <v>5.08</v>
      </c>
    </row>
    <row r="62" spans="1:18">
      <c r="A62">
        <v>19</v>
      </c>
      <c r="B62">
        <v>5.58</v>
      </c>
      <c r="G62">
        <v>9.42</v>
      </c>
      <c r="M62">
        <v>4.9000000000000004</v>
      </c>
    </row>
    <row r="63" spans="1:18">
      <c r="A63">
        <v>20</v>
      </c>
      <c r="B63">
        <v>18.649999999999999</v>
      </c>
      <c r="G63">
        <v>6.57</v>
      </c>
      <c r="M63">
        <f>SUM(M44:M62)</f>
        <v>130.36000000000001</v>
      </c>
    </row>
    <row r="64" spans="1:18">
      <c r="A64">
        <v>21</v>
      </c>
      <c r="B64">
        <v>15.36</v>
      </c>
      <c r="G64">
        <v>6.57</v>
      </c>
    </row>
    <row r="65" spans="1:8">
      <c r="A65">
        <v>22</v>
      </c>
      <c r="B65">
        <v>65.66</v>
      </c>
      <c r="G65">
        <v>9.42</v>
      </c>
    </row>
    <row r="66" spans="1:8">
      <c r="A66">
        <v>23</v>
      </c>
      <c r="B66">
        <v>12.25</v>
      </c>
      <c r="G66">
        <v>9.35</v>
      </c>
    </row>
    <row r="67" spans="1:8">
      <c r="A67">
        <v>24</v>
      </c>
      <c r="B67">
        <v>42.67</v>
      </c>
      <c r="G67">
        <v>6.52</v>
      </c>
    </row>
    <row r="68" spans="1:8">
      <c r="A68">
        <v>25</v>
      </c>
      <c r="B68">
        <v>12.25</v>
      </c>
      <c r="G68" s="169">
        <v>4.9000000000000004</v>
      </c>
      <c r="H68" t="s">
        <v>107</v>
      </c>
    </row>
    <row r="69" spans="1:8">
      <c r="A69">
        <v>26</v>
      </c>
      <c r="B69">
        <v>65.66</v>
      </c>
      <c r="G69">
        <f>SUM(G44:G68)</f>
        <v>173.57999999999998</v>
      </c>
    </row>
    <row r="70" spans="1:8">
      <c r="A70">
        <v>27</v>
      </c>
      <c r="B70">
        <v>15.45</v>
      </c>
    </row>
    <row r="71" spans="1:8">
      <c r="A71">
        <v>28</v>
      </c>
      <c r="B71">
        <v>11.48</v>
      </c>
      <c r="G71">
        <f>SUM(G44:G67)</f>
        <v>168.67999999999998</v>
      </c>
    </row>
    <row r="72" spans="1:8">
      <c r="B72">
        <f>SUM(B44:B71)</f>
        <v>575.60000000000014</v>
      </c>
    </row>
  </sheetData>
  <mergeCells count="5">
    <mergeCell ref="A1:O1"/>
    <mergeCell ref="A43:C43"/>
    <mergeCell ref="F43:H43"/>
    <mergeCell ref="L43:N43"/>
    <mergeCell ref="Q43:S43"/>
  </mergeCells>
  <pageMargins left="0.511811024" right="0.511811024" top="0.78740157499999996" bottom="0.78740157499999996" header="0.31496062000000002" footer="0.31496062000000002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I66"/>
  <sheetViews>
    <sheetView tabSelected="1" view="pageBreakPreview" zoomScaleNormal="100" zoomScaleSheetLayoutView="100" workbookViewId="0">
      <selection activeCell="A41" sqref="A41:I41"/>
    </sheetView>
  </sheetViews>
  <sheetFormatPr defaultRowHeight="12.75"/>
  <cols>
    <col min="1" max="1" width="7" style="7" customWidth="1"/>
    <col min="2" max="2" width="9.125" style="7" bestFit="1" customWidth="1"/>
    <col min="3" max="3" width="9.125" style="7" customWidth="1"/>
    <col min="4" max="4" width="48.75" style="8" customWidth="1"/>
    <col min="5" max="5" width="7.25" style="7" customWidth="1"/>
    <col min="6" max="6" width="5.375" style="11" customWidth="1"/>
    <col min="7" max="7" width="10.875" style="9" customWidth="1"/>
    <col min="8" max="8" width="11" style="9" customWidth="1"/>
    <col min="9" max="9" width="15.875" style="1" customWidth="1"/>
    <col min="10" max="10" width="15.25" style="1" bestFit="1" customWidth="1"/>
    <col min="11" max="11" width="13.875" style="1" customWidth="1"/>
    <col min="12" max="12" width="15.25" style="1" bestFit="1" customWidth="1"/>
    <col min="13" max="13" width="13.875" style="1" customWidth="1"/>
    <col min="14" max="14" width="15.25" style="1" bestFit="1" customWidth="1"/>
    <col min="15" max="19" width="13.875" style="1" customWidth="1"/>
    <col min="20" max="20" width="15.25" style="1" bestFit="1" customWidth="1"/>
    <col min="21" max="21" width="13.875" style="1" customWidth="1"/>
    <col min="22" max="22" width="15.25" style="1" bestFit="1" customWidth="1"/>
    <col min="23" max="23" width="13.875" style="1" customWidth="1"/>
    <col min="24" max="24" width="15.25" style="1" bestFit="1" customWidth="1"/>
    <col min="25" max="25" width="13.875" style="1" customWidth="1"/>
    <col min="26" max="26" width="15.25" style="1" bestFit="1" customWidth="1"/>
    <col min="27" max="27" width="13.875" style="1" customWidth="1"/>
    <col min="28" max="28" width="15.25" style="1" bestFit="1" customWidth="1"/>
    <col min="29" max="29" width="13.875" style="1" customWidth="1"/>
    <col min="30" max="30" width="15.25" style="1" bestFit="1" customWidth="1"/>
    <col min="31" max="31" width="13.875" style="1" customWidth="1"/>
    <col min="32" max="32" width="15.25" style="1" bestFit="1" customWidth="1"/>
    <col min="33" max="35" width="13.875" style="1" customWidth="1"/>
    <col min="36" max="16384" width="9" style="1"/>
  </cols>
  <sheetData>
    <row r="2" spans="1:35" ht="12.75" customHeight="1">
      <c r="A2" s="188" t="s">
        <v>15</v>
      </c>
      <c r="B2" s="189"/>
      <c r="C2" s="189"/>
      <c r="D2" s="189"/>
      <c r="E2" s="189"/>
      <c r="F2" s="189"/>
      <c r="G2" s="189"/>
      <c r="H2" s="189"/>
      <c r="I2" s="190"/>
    </row>
    <row r="3" spans="1:35" ht="12.75" customHeight="1">
      <c r="A3" s="191"/>
      <c r="B3" s="192"/>
      <c r="C3" s="192"/>
      <c r="D3" s="192"/>
      <c r="E3" s="192"/>
      <c r="F3" s="192"/>
      <c r="G3" s="192"/>
      <c r="H3" s="192"/>
      <c r="I3" s="193"/>
    </row>
    <row r="4" spans="1:35" ht="12.75" customHeight="1">
      <c r="A4" s="191"/>
      <c r="B4" s="192"/>
      <c r="C4" s="192"/>
      <c r="D4" s="192"/>
      <c r="E4" s="192"/>
      <c r="F4" s="192"/>
      <c r="G4" s="192"/>
      <c r="H4" s="192"/>
      <c r="I4" s="193"/>
    </row>
    <row r="5" spans="1:35" ht="12.75" customHeight="1">
      <c r="A5" s="194"/>
      <c r="B5" s="195"/>
      <c r="C5" s="195"/>
      <c r="D5" s="195"/>
      <c r="E5" s="195"/>
      <c r="F5" s="195"/>
      <c r="G5" s="195"/>
      <c r="H5" s="195"/>
      <c r="I5" s="196"/>
      <c r="J5" s="13"/>
    </row>
    <row r="6" spans="1:35" ht="14.25" customHeight="1">
      <c r="A6" s="6"/>
      <c r="B6" s="6"/>
      <c r="C6" s="6"/>
      <c r="D6" s="2"/>
      <c r="E6" s="3"/>
      <c r="F6" s="10"/>
      <c r="G6" s="4"/>
      <c r="H6" s="4"/>
      <c r="I6" s="5"/>
    </row>
    <row r="7" spans="1:35" s="18" customFormat="1" ht="14.25" customHeight="1">
      <c r="A7" s="197" t="s">
        <v>11</v>
      </c>
      <c r="B7" s="198"/>
      <c r="C7" s="204" t="s">
        <v>12</v>
      </c>
      <c r="D7" s="204"/>
      <c r="E7" s="204"/>
      <c r="F7" s="204"/>
      <c r="G7" s="21"/>
      <c r="H7" s="21" t="s">
        <v>25</v>
      </c>
      <c r="I7" s="22">
        <v>0.29709999999999998</v>
      </c>
      <c r="J7" s="186" t="s">
        <v>22</v>
      </c>
      <c r="K7" s="187"/>
      <c r="L7" s="186" t="s">
        <v>22</v>
      </c>
      <c r="M7" s="187"/>
      <c r="N7" s="186" t="s">
        <v>22</v>
      </c>
      <c r="O7" s="187"/>
      <c r="P7" s="186" t="s">
        <v>22</v>
      </c>
      <c r="Q7" s="187"/>
      <c r="R7" s="186" t="s">
        <v>22</v>
      </c>
      <c r="S7" s="187"/>
      <c r="T7" s="186" t="s">
        <v>22</v>
      </c>
      <c r="U7" s="187"/>
      <c r="V7" s="186" t="s">
        <v>22</v>
      </c>
      <c r="W7" s="187"/>
      <c r="X7" s="186" t="s">
        <v>22</v>
      </c>
      <c r="Y7" s="187"/>
      <c r="Z7" s="186" t="s">
        <v>22</v>
      </c>
      <c r="AA7" s="187"/>
      <c r="AB7" s="186" t="s">
        <v>22</v>
      </c>
      <c r="AC7" s="187"/>
      <c r="AD7" s="186" t="s">
        <v>22</v>
      </c>
      <c r="AE7" s="187"/>
      <c r="AF7" s="186" t="s">
        <v>22</v>
      </c>
      <c r="AG7" s="187"/>
      <c r="AH7" s="186" t="s">
        <v>23</v>
      </c>
      <c r="AI7" s="187"/>
    </row>
    <row r="8" spans="1:35" s="18" customFormat="1" ht="15" customHeight="1">
      <c r="A8" s="199" t="s">
        <v>13</v>
      </c>
      <c r="B8" s="200"/>
      <c r="C8" s="205" t="s">
        <v>62</v>
      </c>
      <c r="D8" s="205"/>
      <c r="E8" s="205"/>
      <c r="F8" s="205"/>
      <c r="G8" s="20"/>
      <c r="H8" s="20" t="s">
        <v>16</v>
      </c>
      <c r="I8" s="24"/>
      <c r="J8" s="28" t="s">
        <v>19</v>
      </c>
      <c r="K8" s="29">
        <v>1</v>
      </c>
      <c r="L8" s="28" t="s">
        <v>19</v>
      </c>
      <c r="M8" s="29">
        <v>2</v>
      </c>
      <c r="N8" s="28" t="s">
        <v>19</v>
      </c>
      <c r="O8" s="29">
        <v>3</v>
      </c>
      <c r="P8" s="28" t="s">
        <v>19</v>
      </c>
      <c r="Q8" s="29">
        <v>4</v>
      </c>
      <c r="R8" s="28" t="s">
        <v>19</v>
      </c>
      <c r="S8" s="29">
        <v>5</v>
      </c>
      <c r="T8" s="28" t="s">
        <v>19</v>
      </c>
      <c r="U8" s="29">
        <v>6</v>
      </c>
      <c r="V8" s="28" t="s">
        <v>19</v>
      </c>
      <c r="W8" s="29">
        <v>7</v>
      </c>
      <c r="X8" s="28" t="s">
        <v>19</v>
      </c>
      <c r="Y8" s="29">
        <v>8</v>
      </c>
      <c r="Z8" s="28" t="s">
        <v>19</v>
      </c>
      <c r="AA8" s="29">
        <v>9</v>
      </c>
      <c r="AB8" s="28" t="s">
        <v>19</v>
      </c>
      <c r="AC8" s="29">
        <v>10</v>
      </c>
      <c r="AD8" s="28" t="s">
        <v>19</v>
      </c>
      <c r="AE8" s="29">
        <v>11</v>
      </c>
      <c r="AF8" s="28" t="s">
        <v>19</v>
      </c>
      <c r="AG8" s="29">
        <v>12</v>
      </c>
      <c r="AH8" s="28"/>
      <c r="AI8" s="29"/>
    </row>
    <row r="9" spans="1:35" s="18" customFormat="1" ht="12.75" customHeight="1">
      <c r="A9" s="201" t="s">
        <v>14</v>
      </c>
      <c r="B9" s="202"/>
      <c r="C9" s="203" t="s">
        <v>43</v>
      </c>
      <c r="D9" s="203"/>
      <c r="E9" s="203"/>
      <c r="F9" s="203"/>
      <c r="G9" s="23"/>
      <c r="H9" s="23" t="s">
        <v>17</v>
      </c>
      <c r="I9" s="25"/>
      <c r="J9" s="30" t="s">
        <v>18</v>
      </c>
      <c r="K9" s="31"/>
      <c r="L9" s="30" t="s">
        <v>18</v>
      </c>
      <c r="M9" s="31"/>
      <c r="N9" s="30" t="s">
        <v>18</v>
      </c>
      <c r="O9" s="31"/>
      <c r="P9" s="30" t="s">
        <v>18</v>
      </c>
      <c r="Q9" s="31"/>
      <c r="R9" s="30" t="s">
        <v>18</v>
      </c>
      <c r="S9" s="31"/>
      <c r="T9" s="30" t="s">
        <v>18</v>
      </c>
      <c r="U9" s="31"/>
      <c r="V9" s="30" t="s">
        <v>18</v>
      </c>
      <c r="W9" s="31"/>
      <c r="X9" s="30" t="s">
        <v>18</v>
      </c>
      <c r="Y9" s="31"/>
      <c r="Z9" s="30" t="s">
        <v>18</v>
      </c>
      <c r="AA9" s="31"/>
      <c r="AB9" s="30" t="s">
        <v>18</v>
      </c>
      <c r="AC9" s="31"/>
      <c r="AD9" s="30" t="s">
        <v>18</v>
      </c>
      <c r="AE9" s="31"/>
      <c r="AF9" s="30" t="s">
        <v>18</v>
      </c>
      <c r="AG9" s="31"/>
      <c r="AH9" s="30" t="s">
        <v>18</v>
      </c>
      <c r="AI9" s="31"/>
    </row>
    <row r="11" spans="1:35" s="18" customFormat="1" ht="29.1" customHeight="1">
      <c r="A11" s="44" t="s">
        <v>0</v>
      </c>
      <c r="B11" s="44" t="s">
        <v>1</v>
      </c>
      <c r="C11" s="44" t="s">
        <v>2</v>
      </c>
      <c r="D11" s="44" t="s">
        <v>3</v>
      </c>
      <c r="E11" s="26" t="s">
        <v>26</v>
      </c>
      <c r="F11" s="44" t="s">
        <v>27</v>
      </c>
      <c r="G11" s="45" t="s">
        <v>28</v>
      </c>
      <c r="H11" s="45" t="s">
        <v>29</v>
      </c>
      <c r="I11" s="45" t="s">
        <v>10</v>
      </c>
      <c r="J11" s="26" t="s">
        <v>20</v>
      </c>
      <c r="K11" s="26" t="s">
        <v>21</v>
      </c>
      <c r="L11" s="26" t="s">
        <v>20</v>
      </c>
      <c r="M11" s="26" t="s">
        <v>21</v>
      </c>
      <c r="N11" s="26" t="s">
        <v>20</v>
      </c>
      <c r="O11" s="26" t="s">
        <v>21</v>
      </c>
      <c r="P11" s="26" t="s">
        <v>20</v>
      </c>
      <c r="Q11" s="26" t="s">
        <v>21</v>
      </c>
      <c r="R11" s="26" t="s">
        <v>20</v>
      </c>
      <c r="S11" s="26" t="s">
        <v>21</v>
      </c>
      <c r="T11" s="26" t="s">
        <v>20</v>
      </c>
      <c r="U11" s="26" t="s">
        <v>21</v>
      </c>
      <c r="V11" s="26" t="s">
        <v>20</v>
      </c>
      <c r="W11" s="26" t="s">
        <v>21</v>
      </c>
      <c r="X11" s="26" t="s">
        <v>20</v>
      </c>
      <c r="Y11" s="26" t="s">
        <v>21</v>
      </c>
      <c r="Z11" s="26" t="s">
        <v>20</v>
      </c>
      <c r="AA11" s="26" t="s">
        <v>21</v>
      </c>
      <c r="AB11" s="26" t="s">
        <v>20</v>
      </c>
      <c r="AC11" s="26" t="s">
        <v>21</v>
      </c>
      <c r="AD11" s="26" t="s">
        <v>20</v>
      </c>
      <c r="AE11" s="26" t="s">
        <v>21</v>
      </c>
      <c r="AF11" s="26" t="s">
        <v>20</v>
      </c>
      <c r="AG11" s="26" t="s">
        <v>21</v>
      </c>
      <c r="AH11" s="26" t="s">
        <v>20</v>
      </c>
      <c r="AI11" s="26" t="s">
        <v>21</v>
      </c>
    </row>
    <row r="12" spans="1:35" s="18" customFormat="1">
      <c r="A12" s="51">
        <v>1</v>
      </c>
      <c r="B12" s="42"/>
      <c r="C12" s="42"/>
      <c r="D12" s="37" t="s">
        <v>7</v>
      </c>
      <c r="E12" s="57"/>
      <c r="F12" s="42"/>
      <c r="G12" s="38"/>
      <c r="H12" s="38"/>
      <c r="I12" s="46">
        <f>SUM(I14:I22)</f>
        <v>13194.96</v>
      </c>
      <c r="J12" s="34"/>
      <c r="K12" s="16"/>
      <c r="L12" s="17"/>
      <c r="M12" s="16"/>
      <c r="N12" s="17"/>
      <c r="O12" s="16"/>
      <c r="P12" s="17"/>
      <c r="Q12" s="16"/>
      <c r="R12" s="17"/>
      <c r="S12" s="16"/>
      <c r="T12" s="17"/>
      <c r="U12" s="16"/>
      <c r="V12" s="17"/>
      <c r="W12" s="16"/>
      <c r="X12" s="17"/>
      <c r="Y12" s="16"/>
      <c r="Z12" s="17"/>
      <c r="AA12" s="16"/>
      <c r="AB12" s="17"/>
      <c r="AC12" s="16"/>
      <c r="AD12" s="17"/>
      <c r="AE12" s="16"/>
      <c r="AF12" s="17"/>
      <c r="AG12" s="16"/>
      <c r="AH12" s="17"/>
      <c r="AI12" s="16"/>
    </row>
    <row r="13" spans="1:35">
      <c r="A13" s="112"/>
      <c r="B13" s="113"/>
      <c r="C13" s="113"/>
      <c r="D13" s="114" t="s">
        <v>37</v>
      </c>
      <c r="E13" s="115"/>
      <c r="F13" s="113"/>
      <c r="G13" s="116"/>
      <c r="H13" s="116"/>
      <c r="I13" s="117"/>
      <c r="J13" s="54"/>
      <c r="K13" s="55"/>
      <c r="L13" s="56"/>
      <c r="M13" s="55"/>
      <c r="N13" s="56"/>
      <c r="O13" s="55"/>
      <c r="P13" s="56"/>
      <c r="Q13" s="55"/>
      <c r="R13" s="56"/>
      <c r="S13" s="55"/>
      <c r="T13" s="56"/>
      <c r="U13" s="55"/>
      <c r="V13" s="56"/>
      <c r="W13" s="55"/>
      <c r="X13" s="56"/>
      <c r="Y13" s="55"/>
      <c r="Z13" s="56"/>
      <c r="AA13" s="55"/>
      <c r="AB13" s="56"/>
      <c r="AC13" s="55"/>
      <c r="AD13" s="56"/>
      <c r="AE13" s="55"/>
      <c r="AF13" s="56"/>
      <c r="AG13" s="55"/>
      <c r="AH13" s="56"/>
      <c r="AI13" s="55"/>
    </row>
    <row r="14" spans="1:35" ht="25.5">
      <c r="A14" s="65" t="s">
        <v>5</v>
      </c>
      <c r="B14" s="66" t="s">
        <v>33</v>
      </c>
      <c r="C14" s="67" t="s">
        <v>9</v>
      </c>
      <c r="D14" s="131" t="s">
        <v>58</v>
      </c>
      <c r="E14" s="68">
        <v>622.55999999999995</v>
      </c>
      <c r="F14" s="66" t="s">
        <v>31</v>
      </c>
      <c r="G14" s="40">
        <v>10.39</v>
      </c>
      <c r="H14" s="40">
        <f>ROUND((G14*$I$7)+G14,2)</f>
        <v>13.48</v>
      </c>
      <c r="I14" s="69">
        <f>ROUND((H14*E14),2)</f>
        <v>8392.11</v>
      </c>
      <c r="J14" s="35">
        <f>ROUND(K14*$I$14,2)</f>
        <v>0</v>
      </c>
      <c r="K14" s="27"/>
      <c r="L14" s="14">
        <f>ROUND(M14*$I$14,2)</f>
        <v>0</v>
      </c>
      <c r="M14" s="27"/>
      <c r="N14" s="14">
        <f>ROUND(O14*$I$14,2)</f>
        <v>0</v>
      </c>
      <c r="O14" s="27"/>
      <c r="P14" s="14">
        <f>ROUND(Q14*$I$14,2)</f>
        <v>0</v>
      </c>
      <c r="Q14" s="27"/>
      <c r="R14" s="14">
        <f>ROUND(S14*$I$14,2)</f>
        <v>0</v>
      </c>
      <c r="S14" s="27"/>
      <c r="T14" s="14">
        <f>ROUND(U14*$I$14,2)</f>
        <v>0</v>
      </c>
      <c r="U14" s="27"/>
      <c r="V14" s="14">
        <f>ROUND(W14*$I$14,2)</f>
        <v>0</v>
      </c>
      <c r="W14" s="27"/>
      <c r="X14" s="14">
        <f>ROUND(Y14*$I$14,2)</f>
        <v>0</v>
      </c>
      <c r="Y14" s="27"/>
      <c r="Z14" s="14">
        <f>ROUND(AA14*$I$14,2)</f>
        <v>0</v>
      </c>
      <c r="AA14" s="27"/>
      <c r="AB14" s="14">
        <f>ROUND(AC14*$I$14,2)</f>
        <v>0</v>
      </c>
      <c r="AC14" s="27"/>
      <c r="AD14" s="14">
        <f>ROUND(AE14*$I$14,2)</f>
        <v>0</v>
      </c>
      <c r="AE14" s="27"/>
      <c r="AF14" s="14">
        <f>ROUND(AG14*$I$14,2)</f>
        <v>0</v>
      </c>
      <c r="AG14" s="27"/>
      <c r="AH14" s="14">
        <f>ROUND(AI14*$I$14,2)</f>
        <v>0</v>
      </c>
      <c r="AI14" s="27"/>
    </row>
    <row r="15" spans="1:35" ht="25.5">
      <c r="A15" s="65" t="s">
        <v>24</v>
      </c>
      <c r="B15" s="66" t="s">
        <v>34</v>
      </c>
      <c r="C15" s="67" t="s">
        <v>9</v>
      </c>
      <c r="D15" s="131" t="s">
        <v>59</v>
      </c>
      <c r="E15" s="68">
        <v>160.36000000000001</v>
      </c>
      <c r="F15" s="66" t="s">
        <v>8</v>
      </c>
      <c r="G15" s="40">
        <v>3.9</v>
      </c>
      <c r="H15" s="40">
        <f t="shared" ref="H15:H22" si="0">ROUND((G15*$I$7)+G15,2)</f>
        <v>5.0599999999999996</v>
      </c>
      <c r="I15" s="69">
        <f>ROUND((H15*E15),2)</f>
        <v>811.42</v>
      </c>
      <c r="J15" s="35"/>
      <c r="K15" s="27"/>
      <c r="L15" s="14"/>
      <c r="M15" s="27"/>
      <c r="N15" s="14"/>
      <c r="O15" s="27"/>
      <c r="P15" s="14"/>
      <c r="Q15" s="27"/>
      <c r="R15" s="14"/>
      <c r="S15" s="27"/>
      <c r="T15" s="14"/>
      <c r="U15" s="27"/>
      <c r="V15" s="14"/>
      <c r="W15" s="27"/>
      <c r="X15" s="14"/>
      <c r="Y15" s="27"/>
      <c r="Z15" s="14"/>
      <c r="AA15" s="27"/>
      <c r="AB15" s="14"/>
      <c r="AC15" s="27"/>
      <c r="AD15" s="14"/>
      <c r="AE15" s="27"/>
      <c r="AF15" s="14"/>
      <c r="AG15" s="27"/>
      <c r="AH15" s="14"/>
      <c r="AI15" s="27"/>
    </row>
    <row r="16" spans="1:35">
      <c r="A16" s="65" t="s">
        <v>32</v>
      </c>
      <c r="B16" s="66" t="s">
        <v>35</v>
      </c>
      <c r="C16" s="67" t="s">
        <v>9</v>
      </c>
      <c r="D16" s="134" t="s">
        <v>36</v>
      </c>
      <c r="E16" s="68">
        <v>173.58</v>
      </c>
      <c r="F16" s="66" t="s">
        <v>8</v>
      </c>
      <c r="G16" s="40">
        <v>2.99</v>
      </c>
      <c r="H16" s="40">
        <f t="shared" si="0"/>
        <v>3.88</v>
      </c>
      <c r="I16" s="69">
        <f>ROUND((H16*E16),2)</f>
        <v>673.49</v>
      </c>
      <c r="J16" s="35"/>
      <c r="K16" s="27"/>
      <c r="L16" s="14"/>
      <c r="M16" s="27"/>
      <c r="N16" s="14"/>
      <c r="O16" s="27"/>
      <c r="P16" s="14"/>
      <c r="Q16" s="27"/>
      <c r="R16" s="14"/>
      <c r="S16" s="27"/>
      <c r="T16" s="14"/>
      <c r="U16" s="27"/>
      <c r="V16" s="14"/>
      <c r="W16" s="27"/>
      <c r="X16" s="14"/>
      <c r="Y16" s="27"/>
      <c r="Z16" s="14"/>
      <c r="AA16" s="27"/>
      <c r="AB16" s="14"/>
      <c r="AC16" s="27"/>
      <c r="AD16" s="14"/>
      <c r="AE16" s="27"/>
      <c r="AF16" s="14"/>
      <c r="AG16" s="27"/>
      <c r="AH16" s="14"/>
      <c r="AI16" s="27"/>
    </row>
    <row r="17" spans="1:35" ht="25.5">
      <c r="A17" s="65" t="s">
        <v>55</v>
      </c>
      <c r="B17" s="66" t="s">
        <v>82</v>
      </c>
      <c r="C17" s="67" t="s">
        <v>9</v>
      </c>
      <c r="D17" s="139" t="s">
        <v>83</v>
      </c>
      <c r="E17" s="68">
        <v>9</v>
      </c>
      <c r="F17" s="66" t="s">
        <v>8</v>
      </c>
      <c r="G17" s="40">
        <v>2.88</v>
      </c>
      <c r="H17" s="40">
        <f t="shared" si="0"/>
        <v>3.74</v>
      </c>
      <c r="I17" s="69">
        <f t="shared" ref="I17" si="1">ROUND((H17*E17),2)</f>
        <v>33.659999999999997</v>
      </c>
      <c r="J17" s="35"/>
      <c r="K17" s="27"/>
      <c r="L17" s="14"/>
      <c r="M17" s="27"/>
      <c r="N17" s="14"/>
      <c r="O17" s="27"/>
      <c r="P17" s="14"/>
      <c r="Q17" s="27"/>
      <c r="R17" s="14"/>
      <c r="S17" s="27"/>
      <c r="T17" s="14"/>
      <c r="U17" s="27"/>
      <c r="V17" s="14"/>
      <c r="W17" s="27"/>
      <c r="X17" s="14"/>
      <c r="Y17" s="27"/>
      <c r="Z17" s="14"/>
      <c r="AA17" s="27"/>
      <c r="AB17" s="14"/>
      <c r="AC17" s="27"/>
      <c r="AD17" s="14"/>
      <c r="AE17" s="27"/>
      <c r="AF17" s="14"/>
      <c r="AG17" s="27"/>
      <c r="AH17" s="14"/>
      <c r="AI17" s="27"/>
    </row>
    <row r="18" spans="1:35">
      <c r="A18" s="65" t="s">
        <v>61</v>
      </c>
      <c r="B18" s="66" t="s">
        <v>94</v>
      </c>
      <c r="C18" s="67" t="s">
        <v>95</v>
      </c>
      <c r="D18" s="134" t="s">
        <v>96</v>
      </c>
      <c r="E18" s="68">
        <v>1899.48</v>
      </c>
      <c r="F18" s="66" t="s">
        <v>8</v>
      </c>
      <c r="G18" s="40">
        <v>0.46</v>
      </c>
      <c r="H18" s="40">
        <f t="shared" si="0"/>
        <v>0.6</v>
      </c>
      <c r="I18" s="69">
        <f>ROUND((H18*E18),2)</f>
        <v>1139.69</v>
      </c>
      <c r="J18" s="35"/>
      <c r="K18" s="27"/>
      <c r="L18" s="14"/>
      <c r="M18" s="27"/>
      <c r="N18" s="14"/>
      <c r="O18" s="27"/>
      <c r="P18" s="14"/>
      <c r="Q18" s="27"/>
      <c r="R18" s="14"/>
      <c r="S18" s="27"/>
      <c r="T18" s="14"/>
      <c r="U18" s="27"/>
      <c r="V18" s="14"/>
      <c r="W18" s="27"/>
      <c r="X18" s="14"/>
      <c r="Y18" s="27"/>
      <c r="Z18" s="14"/>
      <c r="AA18" s="27"/>
      <c r="AB18" s="14"/>
      <c r="AC18" s="27"/>
      <c r="AD18" s="14"/>
      <c r="AE18" s="27"/>
      <c r="AF18" s="14"/>
      <c r="AG18" s="27"/>
      <c r="AH18" s="14"/>
      <c r="AI18" s="27"/>
    </row>
    <row r="19" spans="1:35">
      <c r="A19" s="118"/>
      <c r="B19" s="119"/>
      <c r="C19" s="120"/>
      <c r="D19" s="121" t="s">
        <v>48</v>
      </c>
      <c r="E19" s="122"/>
      <c r="F19" s="119"/>
      <c r="G19" s="123"/>
      <c r="H19" s="123"/>
      <c r="I19" s="124"/>
      <c r="J19" s="35"/>
      <c r="K19" s="27"/>
      <c r="L19" s="14"/>
      <c r="M19" s="27"/>
      <c r="N19" s="14"/>
      <c r="O19" s="27"/>
      <c r="P19" s="14"/>
      <c r="Q19" s="27"/>
      <c r="R19" s="14"/>
      <c r="S19" s="27"/>
      <c r="T19" s="14"/>
      <c r="U19" s="27"/>
      <c r="V19" s="14"/>
      <c r="W19" s="27"/>
      <c r="X19" s="14"/>
      <c r="Y19" s="27"/>
      <c r="Z19" s="14"/>
      <c r="AA19" s="27"/>
      <c r="AB19" s="14"/>
      <c r="AC19" s="27"/>
      <c r="AD19" s="14"/>
      <c r="AE19" s="27"/>
      <c r="AF19" s="14"/>
      <c r="AG19" s="27"/>
      <c r="AH19" s="14"/>
      <c r="AI19" s="27"/>
    </row>
    <row r="20" spans="1:35" ht="38.25">
      <c r="A20" s="65" t="s">
        <v>55</v>
      </c>
      <c r="B20" s="66">
        <v>97914</v>
      </c>
      <c r="C20" s="67" t="s">
        <v>6</v>
      </c>
      <c r="D20" s="131" t="s">
        <v>75</v>
      </c>
      <c r="E20" s="68">
        <v>79.239999999999995</v>
      </c>
      <c r="F20" s="66" t="s">
        <v>54</v>
      </c>
      <c r="G20" s="40">
        <v>1.57</v>
      </c>
      <c r="H20" s="40">
        <f t="shared" si="0"/>
        <v>2.04</v>
      </c>
      <c r="I20" s="69">
        <f>ROUND((H20*E20),2)</f>
        <v>161.65</v>
      </c>
      <c r="J20" s="35"/>
      <c r="K20" s="27"/>
      <c r="L20" s="14"/>
      <c r="M20" s="27"/>
      <c r="N20" s="14"/>
      <c r="O20" s="27"/>
      <c r="P20" s="14"/>
      <c r="Q20" s="27"/>
      <c r="R20" s="14"/>
      <c r="S20" s="27"/>
      <c r="T20" s="14"/>
      <c r="U20" s="27"/>
      <c r="V20" s="14"/>
      <c r="W20" s="27"/>
      <c r="X20" s="14"/>
      <c r="Y20" s="27"/>
      <c r="Z20" s="14"/>
      <c r="AA20" s="27"/>
      <c r="AB20" s="14"/>
      <c r="AC20" s="27"/>
      <c r="AD20" s="14"/>
      <c r="AE20" s="27"/>
      <c r="AF20" s="14"/>
      <c r="AG20" s="27"/>
      <c r="AH20" s="14"/>
      <c r="AI20" s="27"/>
    </row>
    <row r="21" spans="1:35" ht="25.5">
      <c r="A21" s="65" t="s">
        <v>61</v>
      </c>
      <c r="B21" s="66">
        <v>72897</v>
      </c>
      <c r="C21" s="67" t="s">
        <v>6</v>
      </c>
      <c r="D21" s="131" t="s">
        <v>57</v>
      </c>
      <c r="E21" s="68">
        <v>34.450000000000003</v>
      </c>
      <c r="F21" s="66" t="s">
        <v>49</v>
      </c>
      <c r="G21" s="40">
        <v>22.19</v>
      </c>
      <c r="H21" s="40">
        <f t="shared" si="0"/>
        <v>28.78</v>
      </c>
      <c r="I21" s="69">
        <f>ROUND((H21*E21),2)</f>
        <v>991.47</v>
      </c>
      <c r="J21" s="35"/>
      <c r="K21" s="27"/>
      <c r="L21" s="14"/>
      <c r="M21" s="27"/>
      <c r="N21" s="14"/>
      <c r="O21" s="27"/>
      <c r="P21" s="14"/>
      <c r="Q21" s="27"/>
      <c r="R21" s="14"/>
      <c r="S21" s="27"/>
      <c r="T21" s="14"/>
      <c r="U21" s="27"/>
      <c r="V21" s="14"/>
      <c r="W21" s="27"/>
      <c r="X21" s="14"/>
      <c r="Y21" s="27"/>
      <c r="Z21" s="14"/>
      <c r="AA21" s="27"/>
      <c r="AB21" s="14"/>
      <c r="AC21" s="27"/>
      <c r="AD21" s="14"/>
      <c r="AE21" s="27"/>
      <c r="AF21" s="14"/>
      <c r="AG21" s="27"/>
      <c r="AH21" s="14"/>
      <c r="AI21" s="27"/>
    </row>
    <row r="22" spans="1:35" ht="25.5">
      <c r="A22" s="65" t="s">
        <v>77</v>
      </c>
      <c r="B22" s="66">
        <v>72897</v>
      </c>
      <c r="C22" s="67" t="s">
        <v>6</v>
      </c>
      <c r="D22" s="131" t="s">
        <v>76</v>
      </c>
      <c r="E22" s="68">
        <v>34.450000000000003</v>
      </c>
      <c r="F22" s="66" t="s">
        <v>49</v>
      </c>
      <c r="G22" s="40">
        <v>22.19</v>
      </c>
      <c r="H22" s="40">
        <f t="shared" si="0"/>
        <v>28.78</v>
      </c>
      <c r="I22" s="69">
        <f>ROUND((H22*E22),2)</f>
        <v>991.47</v>
      </c>
      <c r="J22" s="35"/>
      <c r="K22" s="27"/>
      <c r="L22" s="14"/>
      <c r="M22" s="27"/>
      <c r="N22" s="14"/>
      <c r="O22" s="27"/>
      <c r="P22" s="14"/>
      <c r="Q22" s="27"/>
      <c r="R22" s="14"/>
      <c r="S22" s="27"/>
      <c r="T22" s="14"/>
      <c r="U22" s="27"/>
      <c r="V22" s="14"/>
      <c r="W22" s="27"/>
      <c r="X22" s="14"/>
      <c r="Y22" s="27"/>
      <c r="Z22" s="14"/>
      <c r="AA22" s="27"/>
      <c r="AB22" s="14"/>
      <c r="AC22" s="27"/>
      <c r="AD22" s="14"/>
      <c r="AE22" s="27"/>
      <c r="AF22" s="14"/>
      <c r="AG22" s="27"/>
      <c r="AH22" s="14"/>
      <c r="AI22" s="27"/>
    </row>
    <row r="23" spans="1:35">
      <c r="A23" s="52">
        <v>2</v>
      </c>
      <c r="B23" s="43"/>
      <c r="C23" s="43"/>
      <c r="D23" s="39" t="s">
        <v>84</v>
      </c>
      <c r="E23" s="58"/>
      <c r="F23" s="43"/>
      <c r="G23" s="41"/>
      <c r="H23" s="41"/>
      <c r="I23" s="48">
        <f>I25</f>
        <v>3735.65</v>
      </c>
      <c r="J23" s="35"/>
      <c r="K23" s="27"/>
      <c r="L23" s="14"/>
      <c r="M23" s="27"/>
      <c r="N23" s="14"/>
      <c r="O23" s="27"/>
      <c r="P23" s="14"/>
      <c r="Q23" s="27"/>
      <c r="R23" s="14"/>
      <c r="S23" s="27"/>
      <c r="T23" s="14"/>
      <c r="U23" s="27"/>
      <c r="V23" s="14"/>
      <c r="W23" s="27"/>
      <c r="X23" s="14"/>
      <c r="Y23" s="27"/>
      <c r="Z23" s="14"/>
      <c r="AA23" s="27"/>
      <c r="AB23" s="14"/>
      <c r="AC23" s="27"/>
      <c r="AD23" s="14"/>
      <c r="AE23" s="27"/>
      <c r="AF23" s="14"/>
      <c r="AG23" s="27"/>
      <c r="AH23" s="14"/>
      <c r="AI23" s="27"/>
    </row>
    <row r="24" spans="1:35">
      <c r="A24" s="125"/>
      <c r="B24" s="126"/>
      <c r="C24" s="127"/>
      <c r="D24" s="128" t="s">
        <v>85</v>
      </c>
      <c r="E24" s="129"/>
      <c r="F24" s="119"/>
      <c r="G24" s="123"/>
      <c r="H24" s="123"/>
      <c r="I24" s="130"/>
      <c r="J24" s="35"/>
      <c r="K24" s="27"/>
      <c r="L24" s="14"/>
      <c r="M24" s="27"/>
      <c r="N24" s="14"/>
      <c r="O24" s="27"/>
      <c r="P24" s="14"/>
      <c r="Q24" s="27"/>
      <c r="R24" s="14"/>
      <c r="S24" s="27"/>
      <c r="T24" s="14"/>
      <c r="U24" s="27"/>
      <c r="V24" s="14"/>
      <c r="W24" s="27"/>
      <c r="X24" s="14"/>
      <c r="Y24" s="27"/>
      <c r="Z24" s="14"/>
      <c r="AA24" s="27"/>
      <c r="AB24" s="14"/>
      <c r="AC24" s="27"/>
      <c r="AD24" s="14"/>
      <c r="AE24" s="27"/>
      <c r="AF24" s="14"/>
      <c r="AG24" s="27"/>
      <c r="AH24" s="14"/>
      <c r="AI24" s="27"/>
    </row>
    <row r="25" spans="1:35">
      <c r="A25" s="65" t="s">
        <v>86</v>
      </c>
      <c r="B25" s="66" t="s">
        <v>87</v>
      </c>
      <c r="C25" s="67" t="s">
        <v>88</v>
      </c>
      <c r="D25" s="131" t="s">
        <v>101</v>
      </c>
      <c r="E25" s="68">
        <v>1</v>
      </c>
      <c r="F25" s="66" t="s">
        <v>102</v>
      </c>
      <c r="G25" s="40">
        <v>2880</v>
      </c>
      <c r="H25" s="40">
        <f t="shared" ref="H25" si="2">ROUND((G25*$I$7)+G25,2)</f>
        <v>3735.65</v>
      </c>
      <c r="I25" s="69">
        <f>ROUND((H25*E25),2)</f>
        <v>3735.65</v>
      </c>
      <c r="J25" s="35"/>
      <c r="K25" s="27"/>
      <c r="L25" s="14"/>
      <c r="M25" s="27"/>
      <c r="N25" s="14"/>
      <c r="O25" s="27"/>
      <c r="P25" s="14"/>
      <c r="Q25" s="27"/>
      <c r="R25" s="14"/>
      <c r="S25" s="27"/>
      <c r="T25" s="14"/>
      <c r="U25" s="27"/>
      <c r="V25" s="14"/>
      <c r="W25" s="27"/>
      <c r="X25" s="14"/>
      <c r="Y25" s="27"/>
      <c r="Z25" s="14"/>
      <c r="AA25" s="27"/>
      <c r="AB25" s="14"/>
      <c r="AC25" s="27"/>
      <c r="AD25" s="14"/>
      <c r="AE25" s="27"/>
      <c r="AF25" s="14"/>
      <c r="AG25" s="27"/>
      <c r="AH25" s="14"/>
      <c r="AI25" s="27"/>
    </row>
    <row r="26" spans="1:35" s="18" customFormat="1">
      <c r="A26" s="52">
        <v>3</v>
      </c>
      <c r="B26" s="43"/>
      <c r="C26" s="43"/>
      <c r="D26" s="39" t="s">
        <v>39</v>
      </c>
      <c r="E26" s="58"/>
      <c r="F26" s="43"/>
      <c r="G26" s="41"/>
      <c r="H26" s="41"/>
      <c r="I26" s="48">
        <f>SUM(I28:I35)</f>
        <v>53476</v>
      </c>
      <c r="J26" s="36"/>
      <c r="K26" s="15"/>
      <c r="L26" s="19"/>
      <c r="M26" s="15"/>
      <c r="N26" s="19"/>
      <c r="O26" s="15"/>
      <c r="P26" s="19"/>
      <c r="Q26" s="15"/>
      <c r="R26" s="19"/>
      <c r="S26" s="15"/>
      <c r="T26" s="19"/>
      <c r="U26" s="15"/>
      <c r="V26" s="19"/>
      <c r="W26" s="15"/>
      <c r="X26" s="19"/>
      <c r="Y26" s="15"/>
      <c r="Z26" s="19"/>
      <c r="AA26" s="15"/>
      <c r="AB26" s="19"/>
      <c r="AC26" s="15"/>
      <c r="AD26" s="19"/>
      <c r="AE26" s="15"/>
      <c r="AF26" s="19"/>
      <c r="AG26" s="15"/>
      <c r="AH26" s="19"/>
      <c r="AI26" s="15"/>
    </row>
    <row r="27" spans="1:35">
      <c r="A27" s="125"/>
      <c r="B27" s="126"/>
      <c r="C27" s="127"/>
      <c r="D27" s="128" t="s">
        <v>38</v>
      </c>
      <c r="E27" s="129"/>
      <c r="F27" s="119"/>
      <c r="G27" s="123"/>
      <c r="H27" s="123"/>
      <c r="I27" s="130"/>
      <c r="J27" s="35"/>
      <c r="K27" s="27"/>
      <c r="L27" s="49"/>
      <c r="M27" s="27"/>
      <c r="N27" s="14"/>
      <c r="O27" s="27"/>
      <c r="P27" s="14"/>
      <c r="Q27" s="27"/>
      <c r="R27" s="14"/>
      <c r="S27" s="27"/>
      <c r="T27" s="14"/>
      <c r="U27" s="27"/>
      <c r="V27" s="14"/>
      <c r="W27" s="27"/>
      <c r="X27" s="14"/>
      <c r="Y27" s="27"/>
      <c r="Z27" s="14"/>
      <c r="AA27" s="27"/>
      <c r="AB27" s="14"/>
      <c r="AC27" s="27"/>
      <c r="AD27" s="14"/>
      <c r="AE27" s="27"/>
      <c r="AF27" s="14"/>
      <c r="AG27" s="27"/>
      <c r="AH27" s="14"/>
      <c r="AI27" s="27"/>
    </row>
    <row r="28" spans="1:35" ht="38.25">
      <c r="A28" s="65" t="s">
        <v>89</v>
      </c>
      <c r="B28" s="66">
        <v>94443</v>
      </c>
      <c r="C28" s="67" t="s">
        <v>6</v>
      </c>
      <c r="D28" s="132" t="s">
        <v>109</v>
      </c>
      <c r="E28" s="68">
        <v>622.55999999999995</v>
      </c>
      <c r="F28" s="66" t="s">
        <v>30</v>
      </c>
      <c r="G28" s="40">
        <v>32.51</v>
      </c>
      <c r="H28" s="40">
        <f t="shared" ref="H28:H30" si="3">ROUND((G28*$I$7)+G28,2)</f>
        <v>42.17</v>
      </c>
      <c r="I28" s="47">
        <f t="shared" ref="I28:I35" si="4">ROUND((H28*E28),2)</f>
        <v>26253.360000000001</v>
      </c>
      <c r="J28" s="35"/>
      <c r="K28" s="27"/>
      <c r="L28" s="14"/>
      <c r="M28" s="27"/>
      <c r="N28" s="14"/>
      <c r="O28" s="27"/>
      <c r="P28" s="14"/>
      <c r="Q28" s="27"/>
      <c r="R28" s="14"/>
      <c r="S28" s="27"/>
      <c r="T28" s="14"/>
      <c r="U28" s="27"/>
      <c r="V28" s="14"/>
      <c r="W28" s="27"/>
      <c r="X28" s="14"/>
      <c r="Y28" s="27"/>
      <c r="Z28" s="14"/>
      <c r="AA28" s="27"/>
      <c r="AB28" s="14"/>
      <c r="AC28" s="27"/>
      <c r="AD28" s="14"/>
      <c r="AE28" s="27"/>
      <c r="AF28" s="14"/>
      <c r="AG28" s="27"/>
      <c r="AH28" s="14"/>
      <c r="AI28" s="27"/>
    </row>
    <row r="29" spans="1:35" ht="25.5">
      <c r="A29" s="65" t="s">
        <v>90</v>
      </c>
      <c r="B29" s="66" t="s">
        <v>78</v>
      </c>
      <c r="C29" s="67" t="s">
        <v>9</v>
      </c>
      <c r="D29" s="137" t="s">
        <v>79</v>
      </c>
      <c r="E29" s="68">
        <v>30</v>
      </c>
      <c r="F29" s="66" t="s">
        <v>8</v>
      </c>
      <c r="G29" s="40">
        <v>18.989999999999998</v>
      </c>
      <c r="H29" s="40">
        <f t="shared" si="3"/>
        <v>24.63</v>
      </c>
      <c r="I29" s="47">
        <f t="shared" si="4"/>
        <v>738.9</v>
      </c>
      <c r="J29" s="35"/>
      <c r="K29" s="27"/>
      <c r="L29" s="14"/>
      <c r="M29" s="27"/>
      <c r="N29" s="14"/>
      <c r="O29" s="27"/>
      <c r="P29" s="14"/>
      <c r="Q29" s="27"/>
      <c r="R29" s="14"/>
      <c r="S29" s="27"/>
      <c r="T29" s="14"/>
      <c r="U29" s="27"/>
      <c r="V29" s="14"/>
      <c r="W29" s="27"/>
      <c r="X29" s="14"/>
      <c r="Y29" s="27"/>
      <c r="Z29" s="14"/>
      <c r="AA29" s="27"/>
      <c r="AB29" s="14"/>
      <c r="AC29" s="27"/>
      <c r="AD29" s="14"/>
      <c r="AE29" s="27"/>
      <c r="AF29" s="14"/>
      <c r="AG29" s="27"/>
      <c r="AH29" s="14"/>
      <c r="AI29" s="27"/>
    </row>
    <row r="30" spans="1:35">
      <c r="A30" s="65" t="s">
        <v>91</v>
      </c>
      <c r="B30" s="66" t="s">
        <v>80</v>
      </c>
      <c r="C30" s="67" t="s">
        <v>9</v>
      </c>
      <c r="D30" s="133" t="s">
        <v>81</v>
      </c>
      <c r="E30" s="68">
        <v>130.36000000000001</v>
      </c>
      <c r="F30" s="66" t="s">
        <v>8</v>
      </c>
      <c r="G30" s="40">
        <v>23.16</v>
      </c>
      <c r="H30" s="40">
        <f t="shared" si="3"/>
        <v>30.04</v>
      </c>
      <c r="I30" s="47">
        <f t="shared" si="4"/>
        <v>3916.01</v>
      </c>
      <c r="J30" s="35"/>
      <c r="K30" s="27"/>
      <c r="L30" s="14"/>
      <c r="M30" s="27"/>
      <c r="N30" s="14"/>
      <c r="O30" s="27"/>
      <c r="P30" s="14"/>
      <c r="Q30" s="27"/>
      <c r="R30" s="14"/>
      <c r="S30" s="27"/>
      <c r="T30" s="14"/>
      <c r="U30" s="27"/>
      <c r="V30" s="14"/>
      <c r="W30" s="27"/>
      <c r="X30" s="14"/>
      <c r="Y30" s="27"/>
      <c r="Z30" s="14"/>
      <c r="AA30" s="27"/>
      <c r="AB30" s="14"/>
      <c r="AC30" s="27"/>
      <c r="AD30" s="14"/>
      <c r="AE30" s="27"/>
      <c r="AF30" s="14"/>
      <c r="AG30" s="27"/>
      <c r="AH30" s="14"/>
      <c r="AI30" s="27"/>
    </row>
    <row r="31" spans="1:35">
      <c r="A31" s="125"/>
      <c r="B31" s="119"/>
      <c r="C31" s="120"/>
      <c r="D31" s="128" t="s">
        <v>40</v>
      </c>
      <c r="E31" s="122"/>
      <c r="F31" s="119"/>
      <c r="G31" s="123"/>
      <c r="H31" s="123"/>
      <c r="I31" s="130"/>
      <c r="J31" s="35"/>
      <c r="K31" s="27"/>
      <c r="L31" s="14"/>
      <c r="M31" s="27"/>
      <c r="N31" s="14"/>
      <c r="O31" s="27"/>
      <c r="P31" s="14"/>
      <c r="Q31" s="27"/>
      <c r="R31" s="14"/>
      <c r="S31" s="27"/>
      <c r="T31" s="14"/>
      <c r="U31" s="27"/>
      <c r="V31" s="14"/>
      <c r="W31" s="27"/>
      <c r="X31" s="14"/>
      <c r="Y31" s="27"/>
      <c r="Z31" s="14"/>
      <c r="AA31" s="27"/>
      <c r="AB31" s="14"/>
      <c r="AC31" s="27"/>
      <c r="AD31" s="14"/>
      <c r="AE31" s="27"/>
      <c r="AF31" s="14"/>
      <c r="AG31" s="27"/>
      <c r="AH31" s="14"/>
      <c r="AI31" s="27"/>
    </row>
    <row r="32" spans="1:35" s="12" customFormat="1" ht="38.25" customHeight="1">
      <c r="A32" s="65" t="s">
        <v>92</v>
      </c>
      <c r="B32" s="168">
        <v>94228</v>
      </c>
      <c r="C32" s="67" t="s">
        <v>6</v>
      </c>
      <c r="D32" s="137" t="s">
        <v>110</v>
      </c>
      <c r="E32" s="68">
        <v>168.68</v>
      </c>
      <c r="F32" s="66" t="s">
        <v>8</v>
      </c>
      <c r="G32" s="40">
        <v>56.64</v>
      </c>
      <c r="H32" s="40">
        <f>ROUND((G32*$I$7)+G32,2)</f>
        <v>73.47</v>
      </c>
      <c r="I32" s="47">
        <f t="shared" si="4"/>
        <v>12392.92</v>
      </c>
      <c r="J32" s="35">
        <f t="shared" ref="J32" si="5">ROUND(K32*$I$14,2)</f>
        <v>0</v>
      </c>
      <c r="K32" s="33"/>
      <c r="L32" s="14">
        <f t="shared" ref="L32" si="6">ROUND(M32*$I$14,2)</f>
        <v>0</v>
      </c>
      <c r="M32" s="33"/>
      <c r="N32" s="14">
        <f t="shared" ref="N32" si="7">ROUND(O32*$I$14,2)</f>
        <v>0</v>
      </c>
      <c r="O32" s="33"/>
      <c r="P32" s="14">
        <f t="shared" ref="P32" si="8">ROUND(Q32*$I$14,2)</f>
        <v>0</v>
      </c>
      <c r="Q32" s="33"/>
      <c r="R32" s="14">
        <f t="shared" ref="R32" si="9">ROUND(S32*$I$14,2)</f>
        <v>0</v>
      </c>
      <c r="S32" s="33"/>
      <c r="T32" s="14">
        <f t="shared" ref="T32" si="10">ROUND(U32*$I$14,2)</f>
        <v>0</v>
      </c>
      <c r="U32" s="33"/>
      <c r="V32" s="14">
        <f t="shared" ref="V32" si="11">ROUND(W32*$I$14,2)</f>
        <v>0</v>
      </c>
      <c r="W32" s="33"/>
      <c r="X32" s="14">
        <f t="shared" ref="X32" si="12">ROUND(Y32*$I$14,2)</f>
        <v>0</v>
      </c>
      <c r="Y32" s="33"/>
      <c r="Z32" s="14">
        <f t="shared" ref="Z32" si="13">ROUND(AA32*$I$14,2)</f>
        <v>0</v>
      </c>
      <c r="AA32" s="33"/>
      <c r="AB32" s="14">
        <f t="shared" ref="AB32" si="14">ROUND(AC32*$I$14,2)</f>
        <v>0</v>
      </c>
      <c r="AC32" s="33"/>
      <c r="AD32" s="14">
        <f t="shared" ref="AD32" si="15">ROUND(AE32*$I$14,2)</f>
        <v>0</v>
      </c>
      <c r="AE32" s="33"/>
      <c r="AF32" s="14">
        <f t="shared" ref="AF32" si="16">ROUND(AG32*$I$14,2)</f>
        <v>0</v>
      </c>
      <c r="AG32" s="33"/>
      <c r="AH32" s="14">
        <f t="shared" ref="AH32" si="17">ROUND(AI32*$I$14,2)</f>
        <v>0</v>
      </c>
      <c r="AI32" s="33"/>
    </row>
    <row r="33" spans="1:35">
      <c r="A33" s="125"/>
      <c r="B33" s="119"/>
      <c r="C33" s="120"/>
      <c r="D33" s="128" t="s">
        <v>41</v>
      </c>
      <c r="E33" s="122"/>
      <c r="F33" s="119"/>
      <c r="G33" s="123"/>
      <c r="H33" s="123"/>
      <c r="I33" s="130"/>
      <c r="J33" s="35"/>
      <c r="K33" s="27"/>
      <c r="L33" s="14"/>
      <c r="M33" s="27"/>
      <c r="N33" s="14"/>
      <c r="O33" s="27"/>
      <c r="P33" s="14"/>
      <c r="Q33" s="27"/>
      <c r="R33" s="14"/>
      <c r="S33" s="27"/>
      <c r="T33" s="14"/>
      <c r="U33" s="27"/>
      <c r="V33" s="14"/>
      <c r="W33" s="27"/>
      <c r="X33" s="14"/>
      <c r="Y33" s="27"/>
      <c r="Z33" s="14"/>
      <c r="AA33" s="27"/>
      <c r="AB33" s="14"/>
      <c r="AC33" s="27"/>
      <c r="AD33" s="14"/>
      <c r="AE33" s="27"/>
      <c r="AF33" s="14"/>
      <c r="AG33" s="27"/>
      <c r="AH33" s="14"/>
      <c r="AI33" s="27"/>
    </row>
    <row r="34" spans="1:35">
      <c r="A34" s="65" t="s">
        <v>93</v>
      </c>
      <c r="B34" s="66" t="s">
        <v>97</v>
      </c>
      <c r="C34" s="67" t="s">
        <v>95</v>
      </c>
      <c r="D34" s="131" t="s">
        <v>98</v>
      </c>
      <c r="E34" s="68">
        <v>9</v>
      </c>
      <c r="F34" s="66" t="s">
        <v>8</v>
      </c>
      <c r="G34" s="40">
        <v>33.619999999999997</v>
      </c>
      <c r="H34" s="40">
        <f t="shared" ref="H34:H35" si="18">ROUND((G34*$I$7)+G34,2)</f>
        <v>43.61</v>
      </c>
      <c r="I34" s="47">
        <f t="shared" si="4"/>
        <v>392.49</v>
      </c>
      <c r="J34" s="35"/>
      <c r="K34" s="50"/>
      <c r="L34" s="14"/>
      <c r="M34" s="27"/>
      <c r="N34" s="14"/>
      <c r="O34" s="27"/>
      <c r="P34" s="14"/>
      <c r="Q34" s="27"/>
      <c r="R34" s="14"/>
      <c r="S34" s="27"/>
      <c r="T34" s="14"/>
      <c r="U34" s="27"/>
      <c r="V34" s="14"/>
      <c r="W34" s="27"/>
      <c r="X34" s="14"/>
      <c r="Y34" s="27"/>
      <c r="Z34" s="14"/>
      <c r="AA34" s="27"/>
      <c r="AB34" s="14"/>
      <c r="AC34" s="27"/>
      <c r="AD34" s="14"/>
      <c r="AE34" s="27"/>
      <c r="AF34" s="14"/>
      <c r="AG34" s="27"/>
      <c r="AH34" s="14"/>
      <c r="AI34" s="27"/>
    </row>
    <row r="35" spans="1:35">
      <c r="A35" s="141" t="s">
        <v>99</v>
      </c>
      <c r="B35" s="167" t="s">
        <v>104</v>
      </c>
      <c r="C35" s="142" t="s">
        <v>95</v>
      </c>
      <c r="D35" s="70" t="s">
        <v>105</v>
      </c>
      <c r="E35" s="143">
        <v>1899.48</v>
      </c>
      <c r="F35" s="141" t="s">
        <v>8</v>
      </c>
      <c r="G35" s="144">
        <v>3.97</v>
      </c>
      <c r="H35" s="40">
        <f t="shared" si="18"/>
        <v>5.15</v>
      </c>
      <c r="I35" s="47">
        <f t="shared" si="4"/>
        <v>9782.32</v>
      </c>
      <c r="J35" s="145"/>
      <c r="K35" s="146"/>
      <c r="L35" s="145"/>
      <c r="M35" s="147"/>
      <c r="N35" s="145"/>
      <c r="O35" s="147"/>
      <c r="P35" s="145"/>
      <c r="Q35" s="147"/>
      <c r="R35" s="145"/>
      <c r="S35" s="147"/>
      <c r="T35" s="145"/>
      <c r="U35" s="147"/>
      <c r="V35" s="145"/>
      <c r="W35" s="147"/>
      <c r="X35" s="145"/>
      <c r="Y35" s="147"/>
      <c r="Z35" s="145"/>
      <c r="AA35" s="147"/>
      <c r="AB35" s="145"/>
      <c r="AC35" s="147"/>
      <c r="AD35" s="145"/>
      <c r="AE35" s="147"/>
      <c r="AF35" s="145"/>
      <c r="AG35" s="147"/>
      <c r="AH35" s="145"/>
      <c r="AI35" s="147"/>
    </row>
    <row r="36" spans="1:35">
      <c r="A36" s="52">
        <v>4</v>
      </c>
      <c r="B36" s="43"/>
      <c r="C36" s="43"/>
      <c r="D36" s="39" t="s">
        <v>111</v>
      </c>
      <c r="E36" s="58"/>
      <c r="F36" s="43"/>
      <c r="G36" s="41"/>
      <c r="H36" s="41"/>
      <c r="I36" s="48">
        <f>I38</f>
        <v>13335.24</v>
      </c>
      <c r="J36" s="145"/>
      <c r="K36" s="146"/>
      <c r="L36" s="145"/>
      <c r="M36" s="147"/>
      <c r="N36" s="145"/>
      <c r="O36" s="147"/>
      <c r="P36" s="145"/>
      <c r="Q36" s="147"/>
      <c r="R36" s="145"/>
      <c r="S36" s="147"/>
      <c r="T36" s="145"/>
      <c r="U36" s="147"/>
      <c r="V36" s="145"/>
      <c r="W36" s="147"/>
      <c r="X36" s="145"/>
      <c r="Y36" s="147"/>
      <c r="Z36" s="145"/>
      <c r="AA36" s="147"/>
      <c r="AB36" s="145"/>
      <c r="AC36" s="147"/>
      <c r="AD36" s="145"/>
      <c r="AE36" s="147"/>
      <c r="AF36" s="145"/>
      <c r="AG36" s="147"/>
      <c r="AH36" s="145"/>
      <c r="AI36" s="147"/>
    </row>
    <row r="37" spans="1:35">
      <c r="A37" s="125"/>
      <c r="B37" s="126"/>
      <c r="C37" s="127"/>
      <c r="D37" s="128" t="s">
        <v>112</v>
      </c>
      <c r="E37" s="129"/>
      <c r="F37" s="119"/>
      <c r="G37" s="123"/>
      <c r="H37" s="123"/>
      <c r="I37" s="130"/>
      <c r="J37" s="145"/>
      <c r="K37" s="146"/>
      <c r="L37" s="145"/>
      <c r="M37" s="147"/>
      <c r="N37" s="145"/>
      <c r="O37" s="147"/>
      <c r="P37" s="145"/>
      <c r="Q37" s="147"/>
      <c r="R37" s="145"/>
      <c r="S37" s="147"/>
      <c r="T37" s="145"/>
      <c r="U37" s="147"/>
      <c r="V37" s="145"/>
      <c r="W37" s="147"/>
      <c r="X37" s="145"/>
      <c r="Y37" s="147"/>
      <c r="Z37" s="145"/>
      <c r="AA37" s="147"/>
      <c r="AB37" s="145"/>
      <c r="AC37" s="147"/>
      <c r="AD37" s="145"/>
      <c r="AE37" s="147"/>
      <c r="AF37" s="145"/>
      <c r="AG37" s="147"/>
      <c r="AH37" s="145"/>
      <c r="AI37" s="147"/>
    </row>
    <row r="38" spans="1:35">
      <c r="A38" s="65" t="s">
        <v>114</v>
      </c>
      <c r="B38" s="66" t="s">
        <v>113</v>
      </c>
      <c r="C38" s="67" t="s">
        <v>9</v>
      </c>
      <c r="D38" s="170" t="s">
        <v>115</v>
      </c>
      <c r="E38" s="68">
        <v>622.55999999999995</v>
      </c>
      <c r="F38" s="66" t="s">
        <v>30</v>
      </c>
      <c r="G38" s="40">
        <v>16.510000000000002</v>
      </c>
      <c r="H38" s="40">
        <f t="shared" ref="H38" si="19">ROUND((G38*$I$7)+G38,2)</f>
        <v>21.42</v>
      </c>
      <c r="I38" s="47">
        <f t="shared" ref="I38" si="20">ROUND((H38*E38),2)</f>
        <v>13335.24</v>
      </c>
      <c r="J38" s="145"/>
      <c r="K38" s="146"/>
      <c r="L38" s="145"/>
      <c r="M38" s="147"/>
      <c r="N38" s="145"/>
      <c r="O38" s="147"/>
      <c r="P38" s="145"/>
      <c r="Q38" s="147"/>
      <c r="R38" s="145"/>
      <c r="S38" s="147"/>
      <c r="T38" s="145"/>
      <c r="U38" s="147"/>
      <c r="V38" s="145"/>
      <c r="W38" s="147"/>
      <c r="X38" s="145"/>
      <c r="Y38" s="147"/>
      <c r="Z38" s="145"/>
      <c r="AA38" s="147"/>
      <c r="AB38" s="145"/>
      <c r="AC38" s="147"/>
      <c r="AD38" s="145"/>
      <c r="AE38" s="147"/>
      <c r="AF38" s="145"/>
      <c r="AG38" s="147"/>
      <c r="AH38" s="145"/>
      <c r="AI38" s="147"/>
    </row>
    <row r="39" spans="1:35" ht="15.75">
      <c r="D39" s="2"/>
      <c r="F39" s="185" t="s">
        <v>42</v>
      </c>
      <c r="G39" s="185"/>
      <c r="H39" s="185"/>
      <c r="I39" s="59">
        <f>SUM(I12:I38)/2</f>
        <v>83741.849999999991</v>
      </c>
    </row>
    <row r="40" spans="1:35" ht="15.75">
      <c r="D40" s="2"/>
      <c r="F40" s="111"/>
      <c r="G40" s="111"/>
      <c r="H40" s="111"/>
      <c r="I40" s="59"/>
    </row>
    <row r="41" spans="1:35" ht="15.75" customHeight="1">
      <c r="A41" s="181" t="s">
        <v>118</v>
      </c>
      <c r="B41" s="182"/>
      <c r="C41" s="182"/>
      <c r="D41" s="182"/>
      <c r="E41" s="182"/>
      <c r="F41" s="182"/>
      <c r="G41" s="182"/>
      <c r="H41" s="182"/>
      <c r="I41" s="182"/>
    </row>
    <row r="42" spans="1:35" ht="15.75" customHeight="1">
      <c r="A42" s="138"/>
      <c r="D42" s="7"/>
      <c r="F42" s="7"/>
      <c r="G42" s="7"/>
      <c r="H42" s="7"/>
      <c r="I42" s="7"/>
    </row>
    <row r="43" spans="1:35" ht="15.75" customHeight="1">
      <c r="A43" s="183" t="s">
        <v>116</v>
      </c>
      <c r="B43" s="184"/>
      <c r="C43" s="184"/>
      <c r="D43" s="184"/>
      <c r="F43" s="7"/>
      <c r="G43" s="7"/>
      <c r="H43" s="7"/>
      <c r="I43" s="7"/>
    </row>
    <row r="44" spans="1:35" ht="15.75">
      <c r="D44" s="2"/>
      <c r="F44" s="111"/>
      <c r="G44" s="111"/>
      <c r="H44" s="111"/>
      <c r="I44" s="59"/>
    </row>
    <row r="45" spans="1:35" ht="15.75">
      <c r="A45" s="180" t="s">
        <v>117</v>
      </c>
      <c r="B45" s="180"/>
      <c r="C45" s="180"/>
      <c r="D45" s="180"/>
      <c r="F45" s="111"/>
      <c r="G45" s="111"/>
      <c r="H45" s="111"/>
      <c r="I45" s="59"/>
    </row>
    <row r="46" spans="1:35" ht="15.75">
      <c r="D46" s="2"/>
      <c r="F46" s="111"/>
      <c r="G46" s="111"/>
      <c r="H46" s="111"/>
      <c r="I46" s="59"/>
    </row>
    <row r="47" spans="1:35" ht="15" customHeight="1">
      <c r="A47" s="53"/>
      <c r="D47" s="2"/>
    </row>
    <row r="48" spans="1:35">
      <c r="D48" s="3"/>
    </row>
    <row r="49" spans="1:35">
      <c r="A49" s="6"/>
      <c r="D49" s="3"/>
    </row>
    <row r="50" spans="1:35">
      <c r="D50" s="3"/>
    </row>
    <row r="51" spans="1:35">
      <c r="D51" s="3"/>
    </row>
    <row r="52" spans="1:35">
      <c r="D52" s="2"/>
    </row>
    <row r="53" spans="1:35">
      <c r="D53" s="2"/>
      <c r="J53" s="35"/>
      <c r="K53" s="27"/>
      <c r="L53" s="14"/>
      <c r="M53" s="27"/>
      <c r="N53" s="14"/>
      <c r="O53" s="27"/>
      <c r="P53" s="14"/>
      <c r="Q53" s="27"/>
      <c r="R53" s="14"/>
      <c r="S53" s="27"/>
      <c r="T53" s="14"/>
      <c r="U53" s="27"/>
      <c r="V53" s="14"/>
      <c r="W53" s="27"/>
      <c r="X53" s="14"/>
      <c r="Y53" s="27"/>
      <c r="Z53" s="14"/>
      <c r="AA53" s="27"/>
      <c r="AB53" s="14"/>
      <c r="AC53" s="27"/>
      <c r="AD53" s="14"/>
      <c r="AE53" s="27"/>
      <c r="AF53" s="14"/>
      <c r="AG53" s="27"/>
      <c r="AH53" s="14"/>
      <c r="AI53" s="27"/>
    </row>
    <row r="54" spans="1:35">
      <c r="D54" s="2"/>
    </row>
    <row r="55" spans="1:35">
      <c r="D55" s="2"/>
    </row>
    <row r="56" spans="1:35">
      <c r="D56" s="2"/>
    </row>
    <row r="57" spans="1:35">
      <c r="D57" s="2"/>
    </row>
    <row r="58" spans="1:35">
      <c r="D58" s="2"/>
    </row>
    <row r="59" spans="1:35">
      <c r="D59" s="2"/>
    </row>
    <row r="61" spans="1:35">
      <c r="J61" s="35"/>
      <c r="K61" s="27"/>
      <c r="L61" s="14"/>
      <c r="M61" s="27"/>
      <c r="N61" s="14"/>
      <c r="O61" s="27"/>
      <c r="P61" s="14"/>
      <c r="Q61" s="27"/>
      <c r="R61" s="14"/>
      <c r="S61" s="27"/>
      <c r="T61" s="14"/>
      <c r="U61" s="27"/>
      <c r="V61" s="14"/>
      <c r="W61" s="27"/>
      <c r="X61" s="14"/>
      <c r="Y61" s="27"/>
      <c r="Z61" s="14"/>
      <c r="AA61" s="27"/>
      <c r="AB61" s="14"/>
      <c r="AC61" s="27"/>
      <c r="AD61" s="14"/>
      <c r="AE61" s="27"/>
      <c r="AF61" s="14"/>
      <c r="AG61" s="27"/>
      <c r="AH61" s="14"/>
      <c r="AI61" s="27"/>
    </row>
    <row r="64" spans="1:35" ht="14.25" customHeight="1"/>
    <row r="66" spans="10:35">
      <c r="J66" s="35"/>
      <c r="K66" s="27"/>
      <c r="L66" s="14"/>
      <c r="M66" s="27"/>
      <c r="N66" s="14"/>
      <c r="O66" s="27"/>
      <c r="P66" s="14"/>
      <c r="Q66" s="27"/>
      <c r="R66" s="14"/>
      <c r="S66" s="27"/>
      <c r="T66" s="14"/>
      <c r="U66" s="27"/>
      <c r="V66" s="14"/>
      <c r="W66" s="27"/>
      <c r="X66" s="14"/>
      <c r="Y66" s="27"/>
      <c r="Z66" s="14"/>
      <c r="AA66" s="27"/>
      <c r="AB66" s="14"/>
      <c r="AC66" s="27"/>
      <c r="AD66" s="14"/>
      <c r="AE66" s="27"/>
      <c r="AF66" s="14"/>
      <c r="AG66" s="27"/>
      <c r="AH66" s="14"/>
      <c r="AI66" s="27"/>
    </row>
  </sheetData>
  <mergeCells count="24">
    <mergeCell ref="A2:I5"/>
    <mergeCell ref="A7:B7"/>
    <mergeCell ref="A8:B8"/>
    <mergeCell ref="A9:B9"/>
    <mergeCell ref="C9:F9"/>
    <mergeCell ref="C7:F7"/>
    <mergeCell ref="C8:F8"/>
    <mergeCell ref="AF7:AG7"/>
    <mergeCell ref="AH7:AI7"/>
    <mergeCell ref="T7:U7"/>
    <mergeCell ref="V7:W7"/>
    <mergeCell ref="X7:Y7"/>
    <mergeCell ref="Z7:AA7"/>
    <mergeCell ref="AB7:AC7"/>
    <mergeCell ref="A45:D45"/>
    <mergeCell ref="A41:I41"/>
    <mergeCell ref="A43:D43"/>
    <mergeCell ref="F39:H39"/>
    <mergeCell ref="AD7:AE7"/>
    <mergeCell ref="J7:K7"/>
    <mergeCell ref="L7:M7"/>
    <mergeCell ref="N7:O7"/>
    <mergeCell ref="P7:Q7"/>
    <mergeCell ref="R7:S7"/>
  </mergeCells>
  <conditionalFormatting sqref="E11 H11:AI11 H33:I33 H27:I27 I32 I22 H31:I31 I28:I30 I14:I20 I25 I34:I35">
    <cfRule type="cellIs" dxfId="9" priority="383" stopIfTrue="1" operator="equal">
      <formula>0</formula>
    </cfRule>
  </conditionalFormatting>
  <conditionalFormatting sqref="G11">
    <cfRule type="cellIs" dxfId="8" priority="97" stopIfTrue="1" operator="equal">
      <formula>0</formula>
    </cfRule>
  </conditionalFormatting>
  <conditionalFormatting sqref="H14:H22 H25">
    <cfRule type="cellIs" dxfId="7" priority="96" stopIfTrue="1" operator="equal">
      <formula>0</formula>
    </cfRule>
  </conditionalFormatting>
  <conditionalFormatting sqref="H32">
    <cfRule type="cellIs" dxfId="6" priority="51" stopIfTrue="1" operator="equal">
      <formula>0</formula>
    </cfRule>
  </conditionalFormatting>
  <conditionalFormatting sqref="H34:H35">
    <cfRule type="cellIs" dxfId="5" priority="50" stopIfTrue="1" operator="equal">
      <formula>0</formula>
    </cfRule>
  </conditionalFormatting>
  <conditionalFormatting sqref="I21">
    <cfRule type="cellIs" dxfId="4" priority="6" stopIfTrue="1" operator="equal">
      <formula>0</formula>
    </cfRule>
  </conditionalFormatting>
  <conditionalFormatting sqref="H28:H30">
    <cfRule type="cellIs" dxfId="3" priority="4" stopIfTrue="1" operator="equal">
      <formula>0</formula>
    </cfRule>
  </conditionalFormatting>
  <conditionalFormatting sqref="H24:I24">
    <cfRule type="cellIs" dxfId="2" priority="3" stopIfTrue="1" operator="equal">
      <formula>0</formula>
    </cfRule>
  </conditionalFormatting>
  <conditionalFormatting sqref="H37:I37 I38">
    <cfRule type="cellIs" dxfId="1" priority="2" stopIfTrue="1" operator="equal">
      <formula>0</formula>
    </cfRule>
  </conditionalFormatting>
  <conditionalFormatting sqref="H38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31496062992125984" header="0.19685039370078741" footer="0.19685039370078741"/>
  <pageSetup paperSize="9" scale="66" fitToHeight="15" orientation="portrait" r:id="rId1"/>
  <headerFooter alignWithMargins="0">
    <oddHeader>&amp;L       &amp;G&amp;C&amp;"Arial,Negrito"&amp;16Prefeitura Municipal de Birigui&amp;"Arial,Normal"&amp;11
&amp;13CNPJ: 45.151.718/0001-80
&amp;8
&amp;14Secretaria de Obras
&amp;12(18) 3643-6170</oddHeader>
    <oddFooter>&amp;CPágina &amp;P de 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6"/>
  <sheetViews>
    <sheetView workbookViewId="0">
      <selection activeCell="L14" sqref="L14"/>
    </sheetView>
  </sheetViews>
  <sheetFormatPr defaultRowHeight="12.75"/>
  <cols>
    <col min="1" max="1" width="5.625" style="70" customWidth="1"/>
    <col min="2" max="2" width="28.625" style="70" customWidth="1"/>
    <col min="3" max="3" width="13.625" style="109" customWidth="1"/>
    <col min="4" max="4" width="8" style="70" customWidth="1"/>
    <col min="5" max="5" width="12.125" style="70" customWidth="1"/>
    <col min="6" max="6" width="9" style="70"/>
    <col min="7" max="7" width="13.125" style="70" bestFit="1" customWidth="1"/>
    <col min="8" max="8" width="9.5" style="70" bestFit="1" customWidth="1"/>
    <col min="9" max="9" width="12.25" style="70" customWidth="1"/>
    <col min="10" max="10" width="9.5" style="70" customWidth="1"/>
    <col min="11" max="11" width="13.75" style="70" customWidth="1"/>
    <col min="12" max="12" width="9.5" style="70" bestFit="1" customWidth="1"/>
    <col min="13" max="16384" width="9" style="70"/>
  </cols>
  <sheetData>
    <row r="1" spans="1:13" ht="18">
      <c r="A1" s="206" t="s">
        <v>63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8"/>
    </row>
    <row r="2" spans="1:13">
      <c r="A2" s="71"/>
      <c r="B2" s="71"/>
      <c r="C2" s="72"/>
      <c r="D2" s="71"/>
      <c r="E2" s="71"/>
      <c r="F2" s="71"/>
      <c r="G2" s="71"/>
      <c r="H2" s="71"/>
      <c r="I2" s="71"/>
      <c r="J2" s="71"/>
      <c r="K2" s="71"/>
      <c r="L2" s="71"/>
    </row>
    <row r="3" spans="1:13">
      <c r="A3" s="73" t="s">
        <v>64</v>
      </c>
      <c r="B3" s="74"/>
      <c r="C3" s="75"/>
      <c r="D3" s="74"/>
      <c r="E3" s="74"/>
      <c r="F3" s="76"/>
      <c r="G3" s="76"/>
      <c r="H3" s="76"/>
      <c r="I3" s="76"/>
      <c r="J3" s="76"/>
      <c r="K3" s="76"/>
      <c r="L3" s="136"/>
    </row>
    <row r="4" spans="1:13">
      <c r="A4" s="77" t="s">
        <v>72</v>
      </c>
      <c r="B4" s="78"/>
      <c r="C4" s="79"/>
      <c r="D4" s="78"/>
      <c r="E4" s="78"/>
      <c r="F4" s="80"/>
      <c r="G4" s="80"/>
      <c r="H4" s="80"/>
      <c r="I4" s="80"/>
      <c r="J4" s="80"/>
      <c r="K4" s="80"/>
      <c r="L4" s="80"/>
      <c r="M4" s="81"/>
    </row>
    <row r="5" spans="1:13">
      <c r="A5" s="82" t="s">
        <v>73</v>
      </c>
      <c r="B5" s="83"/>
      <c r="C5" s="84"/>
      <c r="D5" s="83"/>
      <c r="E5" s="83"/>
      <c r="F5" s="85"/>
      <c r="G5" s="85"/>
      <c r="H5" s="85"/>
      <c r="I5" s="85"/>
      <c r="J5" s="85"/>
      <c r="K5" s="85"/>
      <c r="L5" s="85"/>
      <c r="M5" s="81"/>
    </row>
    <row r="6" spans="1:13" ht="13.5" thickBot="1">
      <c r="A6" s="71"/>
      <c r="B6" s="86"/>
      <c r="C6" s="72"/>
      <c r="D6" s="71"/>
      <c r="E6" s="71"/>
      <c r="F6" s="71"/>
      <c r="G6" s="71"/>
      <c r="H6" s="71"/>
      <c r="I6" s="71"/>
      <c r="J6" s="71"/>
      <c r="K6" s="71"/>
      <c r="L6" s="71"/>
    </row>
    <row r="7" spans="1:13" ht="14.25" customHeight="1">
      <c r="A7" s="209" t="s">
        <v>0</v>
      </c>
      <c r="B7" s="211" t="s">
        <v>3</v>
      </c>
      <c r="C7" s="212" t="s">
        <v>65</v>
      </c>
      <c r="D7" s="209" t="s">
        <v>66</v>
      </c>
      <c r="E7" s="214" t="s">
        <v>67</v>
      </c>
      <c r="F7" s="215"/>
      <c r="G7" s="214" t="s">
        <v>68</v>
      </c>
      <c r="H7" s="215"/>
      <c r="I7" s="214" t="s">
        <v>121</v>
      </c>
      <c r="J7" s="215"/>
      <c r="K7" s="214" t="s">
        <v>74</v>
      </c>
      <c r="L7" s="215"/>
    </row>
    <row r="8" spans="1:13">
      <c r="A8" s="210"/>
      <c r="B8" s="210"/>
      <c r="C8" s="213"/>
      <c r="D8" s="210"/>
      <c r="E8" s="87" t="s">
        <v>4</v>
      </c>
      <c r="F8" s="88" t="s">
        <v>66</v>
      </c>
      <c r="G8" s="87" t="s">
        <v>4</v>
      </c>
      <c r="H8" s="88" t="s">
        <v>66</v>
      </c>
      <c r="I8" s="87" t="s">
        <v>4</v>
      </c>
      <c r="J8" s="88" t="s">
        <v>66</v>
      </c>
      <c r="K8" s="87" t="s">
        <v>4</v>
      </c>
      <c r="L8" s="88" t="s">
        <v>66</v>
      </c>
    </row>
    <row r="9" spans="1:13">
      <c r="A9" s="89" t="s">
        <v>69</v>
      </c>
      <c r="B9" s="90" t="str">
        <f>Planilha!D12</f>
        <v xml:space="preserve">SERVIÇOS PRELIMINARES </v>
      </c>
      <c r="C9" s="91">
        <f>Planilha!I12</f>
        <v>13194.96</v>
      </c>
      <c r="D9" s="92">
        <f>(C9/$C$13)*100</f>
        <v>15.756709458890624</v>
      </c>
      <c r="E9" s="93">
        <f>(F9/100)*C9</f>
        <v>6597.48</v>
      </c>
      <c r="F9" s="94">
        <v>50</v>
      </c>
      <c r="G9" s="95">
        <f>(H9/100)*C9</f>
        <v>6597.48</v>
      </c>
      <c r="H9" s="94">
        <v>50</v>
      </c>
      <c r="I9" s="93"/>
      <c r="J9" s="94"/>
      <c r="K9" s="95">
        <f>E9+G9+I9</f>
        <v>13194.96</v>
      </c>
      <c r="L9" s="96">
        <f>F9+H9</f>
        <v>100</v>
      </c>
    </row>
    <row r="10" spans="1:13">
      <c r="A10" s="97" t="s">
        <v>70</v>
      </c>
      <c r="B10" s="98" t="str">
        <f>Planilha!D23</f>
        <v xml:space="preserve">DEDETIZAÇÃO </v>
      </c>
      <c r="C10" s="99">
        <f>Planilha!I23</f>
        <v>3735.65</v>
      </c>
      <c r="D10" s="92">
        <f t="shared" ref="D10:D12" si="0">(C10/$C$13)*100</f>
        <v>4.4609117185732101</v>
      </c>
      <c r="E10" s="100"/>
      <c r="F10" s="94"/>
      <c r="G10" s="100"/>
      <c r="H10" s="94"/>
      <c r="I10" s="100">
        <f>(J10/100)*C10</f>
        <v>3735.65</v>
      </c>
      <c r="J10" s="94">
        <v>100</v>
      </c>
      <c r="K10" s="101">
        <f>E10+G10+I10</f>
        <v>3735.65</v>
      </c>
      <c r="L10" s="94">
        <f>F10+H10+J10</f>
        <v>100</v>
      </c>
    </row>
    <row r="11" spans="1:13">
      <c r="A11" s="223" t="s">
        <v>119</v>
      </c>
      <c r="B11" s="216" t="str">
        <f>Planilha!D26</f>
        <v>COBERTURA</v>
      </c>
      <c r="C11" s="99">
        <f>Planilha!I26</f>
        <v>53476</v>
      </c>
      <c r="D11" s="92">
        <f t="shared" si="0"/>
        <v>63.858154554741745</v>
      </c>
      <c r="E11" s="100">
        <f>(F11/100)*C11</f>
        <v>26738</v>
      </c>
      <c r="F11" s="94">
        <v>50</v>
      </c>
      <c r="G11" s="100">
        <f>(H11/100)*C11</f>
        <v>26738</v>
      </c>
      <c r="H11" s="221">
        <v>50</v>
      </c>
      <c r="I11" s="100"/>
      <c r="J11" s="94"/>
      <c r="K11" s="226">
        <f>E11+G11+I11</f>
        <v>53476</v>
      </c>
      <c r="L11" s="219">
        <f>F11+H11+J11</f>
        <v>100</v>
      </c>
    </row>
    <row r="12" spans="1:13">
      <c r="A12" s="222" t="s">
        <v>120</v>
      </c>
      <c r="B12" s="224" t="str">
        <f>Planilha!D36</f>
        <v xml:space="preserve">PINTURA </v>
      </c>
      <c r="C12" s="217">
        <f>Planilha!I36</f>
        <v>13335.24</v>
      </c>
      <c r="D12" s="92">
        <f t="shared" si="0"/>
        <v>15.924224267794418</v>
      </c>
      <c r="E12" s="218"/>
      <c r="F12" s="219"/>
      <c r="G12" s="220"/>
      <c r="H12" s="225"/>
      <c r="I12" s="218">
        <f>(J12/100)*C12</f>
        <v>13335.24</v>
      </c>
      <c r="J12" s="219">
        <v>100</v>
      </c>
      <c r="K12" s="227">
        <f>E12+G12+I12</f>
        <v>13335.24</v>
      </c>
      <c r="L12" s="225">
        <f>F12+H12+J12</f>
        <v>100</v>
      </c>
    </row>
    <row r="13" spans="1:13" ht="13.5" thickBot="1">
      <c r="A13" s="102"/>
      <c r="B13" s="103" t="s">
        <v>71</v>
      </c>
      <c r="C13" s="104">
        <f>SUM(C9:C12)</f>
        <v>83741.850000000006</v>
      </c>
      <c r="D13" s="105">
        <f>(C13/C13)</f>
        <v>1</v>
      </c>
      <c r="E13" s="106">
        <f>SUM(E9:E12)</f>
        <v>33335.479999999996</v>
      </c>
      <c r="F13" s="107">
        <f>SUM(E9:E12)/C13</f>
        <v>0.39807432006816179</v>
      </c>
      <c r="G13" s="108">
        <f>SUM(G9:G12)</f>
        <v>33335.479999999996</v>
      </c>
      <c r="H13" s="135">
        <f>SUM(G9:G12)/C13</f>
        <v>0.39807432006816179</v>
      </c>
      <c r="I13" s="106">
        <f>SUM(I9:I12)</f>
        <v>17070.89</v>
      </c>
      <c r="J13" s="107">
        <f>SUM(I9:I12)/C13</f>
        <v>0.20385135986367625</v>
      </c>
      <c r="K13" s="106">
        <f>SUM(K9:K12)</f>
        <v>83741.850000000006</v>
      </c>
      <c r="L13" s="107">
        <f>SUM(K9:K12)/C13</f>
        <v>1</v>
      </c>
    </row>
    <row r="14" spans="1:13">
      <c r="D14" s="110"/>
    </row>
    <row r="15" spans="1:13">
      <c r="D15" s="228"/>
    </row>
    <row r="16" spans="1:13" ht="12.75" customHeight="1"/>
    <row r="21" spans="3:13" ht="14.25">
      <c r="C21" s="53"/>
      <c r="D21" s="7"/>
      <c r="E21" s="7"/>
      <c r="F21" s="2"/>
      <c r="G21" s="7"/>
      <c r="H21" s="11"/>
      <c r="I21" s="11"/>
      <c r="J21" s="11"/>
      <c r="K21" s="9"/>
      <c r="L21" s="9"/>
      <c r="M21" s="1"/>
    </row>
    <row r="22" spans="3:13" ht="14.25" customHeight="1">
      <c r="C22" s="7"/>
      <c r="D22" s="7"/>
      <c r="E22" s="7"/>
      <c r="F22" s="3"/>
      <c r="G22" s="7"/>
      <c r="H22" s="11"/>
      <c r="I22" s="11"/>
      <c r="J22" s="11"/>
      <c r="K22" s="9"/>
      <c r="L22" s="9"/>
      <c r="M22" s="1"/>
    </row>
    <row r="23" spans="3:13" ht="14.25" customHeight="1">
      <c r="C23" s="6"/>
      <c r="D23" s="7"/>
      <c r="E23" s="7"/>
      <c r="F23" s="3"/>
      <c r="G23" s="7"/>
      <c r="H23" s="11"/>
      <c r="I23" s="11"/>
      <c r="J23" s="11"/>
      <c r="K23" s="9"/>
      <c r="L23" s="9"/>
      <c r="M23" s="1"/>
    </row>
    <row r="24" spans="3:13" ht="14.25" customHeight="1">
      <c r="C24" s="7"/>
      <c r="D24" s="7"/>
      <c r="E24" s="7"/>
      <c r="F24" s="3"/>
      <c r="G24" s="7"/>
      <c r="H24" s="11"/>
      <c r="I24" s="11"/>
      <c r="J24" s="11"/>
      <c r="K24" s="9"/>
      <c r="L24" s="9"/>
      <c r="M24" s="1"/>
    </row>
    <row r="25" spans="3:13">
      <c r="C25" s="7"/>
      <c r="D25" s="7"/>
      <c r="E25" s="7"/>
      <c r="F25" s="3"/>
      <c r="G25" s="7"/>
      <c r="H25" s="11"/>
      <c r="I25" s="11"/>
      <c r="J25" s="11"/>
      <c r="K25" s="9"/>
      <c r="L25" s="9"/>
      <c r="M25" s="1"/>
    </row>
    <row r="26" spans="3:13">
      <c r="C26" s="7"/>
      <c r="D26" s="7"/>
      <c r="E26" s="7"/>
      <c r="F26" s="2"/>
      <c r="G26" s="7"/>
      <c r="H26" s="11"/>
      <c r="I26" s="11"/>
      <c r="J26" s="11"/>
      <c r="K26" s="9"/>
      <c r="L26" s="9"/>
      <c r="M26" s="1"/>
    </row>
    <row r="27" spans="3:13">
      <c r="C27" s="7"/>
      <c r="D27" s="7"/>
      <c r="E27" s="7"/>
      <c r="F27" s="2"/>
      <c r="G27" s="7"/>
      <c r="H27" s="11"/>
      <c r="I27" s="11"/>
      <c r="J27" s="11"/>
      <c r="K27" s="9"/>
      <c r="L27" s="9"/>
      <c r="M27" s="1"/>
    </row>
    <row r="28" spans="3:13">
      <c r="C28" s="7"/>
      <c r="D28" s="7"/>
      <c r="E28" s="7"/>
      <c r="F28" s="2"/>
      <c r="G28" s="7"/>
      <c r="H28" s="11"/>
      <c r="I28" s="11"/>
      <c r="J28" s="11"/>
      <c r="K28" s="9"/>
      <c r="L28" s="9"/>
      <c r="M28" s="1"/>
    </row>
    <row r="29" spans="3:13">
      <c r="C29" s="7"/>
      <c r="D29" s="7"/>
      <c r="E29" s="7"/>
      <c r="F29" s="2"/>
      <c r="G29" s="7"/>
      <c r="H29" s="11"/>
      <c r="I29" s="11"/>
      <c r="J29" s="11"/>
      <c r="K29" s="9"/>
      <c r="L29" s="9"/>
      <c r="M29" s="1"/>
    </row>
    <row r="30" spans="3:13">
      <c r="C30" s="7"/>
      <c r="D30" s="7"/>
      <c r="E30" s="7"/>
      <c r="F30" s="2"/>
      <c r="G30" s="7"/>
      <c r="H30" s="11"/>
      <c r="I30" s="11"/>
      <c r="J30" s="11"/>
      <c r="K30" s="9"/>
      <c r="L30" s="9"/>
      <c r="M30" s="1"/>
    </row>
    <row r="31" spans="3:13">
      <c r="C31" s="7"/>
      <c r="D31" s="7"/>
      <c r="E31" s="7"/>
      <c r="F31" s="2"/>
      <c r="G31" s="7"/>
      <c r="H31" s="11"/>
      <c r="I31" s="11"/>
      <c r="J31" s="11"/>
      <c r="K31" s="9"/>
      <c r="L31" s="9"/>
      <c r="M31" s="1"/>
    </row>
    <row r="32" spans="3:13">
      <c r="C32" s="7"/>
      <c r="D32" s="7"/>
      <c r="E32" s="7"/>
      <c r="F32" s="2"/>
      <c r="G32" s="7"/>
      <c r="H32" s="11"/>
      <c r="I32" s="11"/>
      <c r="J32" s="11"/>
      <c r="K32" s="9"/>
      <c r="L32" s="9"/>
      <c r="M32" s="1"/>
    </row>
    <row r="33" spans="3:13">
      <c r="C33" s="7"/>
      <c r="D33" s="7"/>
      <c r="E33" s="7"/>
      <c r="F33" s="2"/>
      <c r="G33" s="7"/>
      <c r="H33" s="11"/>
      <c r="I33" s="11"/>
      <c r="J33" s="11"/>
      <c r="K33" s="9"/>
      <c r="L33" s="9"/>
      <c r="M33" s="1"/>
    </row>
    <row r="34" spans="3:13">
      <c r="C34" s="7"/>
      <c r="D34" s="7"/>
      <c r="E34" s="7"/>
      <c r="F34" s="8"/>
      <c r="G34" s="7"/>
      <c r="H34" s="11"/>
      <c r="I34" s="11"/>
      <c r="J34" s="11"/>
      <c r="K34" s="9"/>
      <c r="L34" s="9"/>
      <c r="M34" s="1"/>
    </row>
    <row r="35" spans="3:13">
      <c r="C35" s="7"/>
      <c r="D35" s="7"/>
      <c r="E35" s="7"/>
      <c r="F35" s="8"/>
      <c r="G35" s="7"/>
      <c r="H35" s="11"/>
      <c r="I35" s="11"/>
      <c r="J35" s="11"/>
      <c r="K35" s="9"/>
      <c r="L35" s="9"/>
      <c r="M35" s="1"/>
    </row>
    <row r="36" spans="3:13">
      <c r="C36" s="7"/>
      <c r="D36" s="7"/>
      <c r="E36" s="7"/>
      <c r="F36" s="8"/>
      <c r="G36" s="7"/>
      <c r="H36" s="11"/>
      <c r="I36" s="11"/>
      <c r="J36" s="11"/>
      <c r="K36" s="9"/>
      <c r="L36" s="9"/>
      <c r="M36" s="1"/>
    </row>
  </sheetData>
  <mergeCells count="9">
    <mergeCell ref="A1:L1"/>
    <mergeCell ref="A7:A8"/>
    <mergeCell ref="B7:B8"/>
    <mergeCell ref="C7:C8"/>
    <mergeCell ref="D7:D8"/>
    <mergeCell ref="E7:F7"/>
    <mergeCell ref="G7:H7"/>
    <mergeCell ref="K7:L7"/>
    <mergeCell ref="I7:J7"/>
  </mergeCells>
  <pageMargins left="0.39370078740157483" right="0.51181102362204722" top="1.9685039370078741" bottom="0.78740157480314965" header="0.31496062992125984" footer="0.31496062992125984"/>
  <pageSetup scale="80" orientation="landscape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Calculo</vt:lpstr>
      <vt:lpstr>Cálculo 2019</vt:lpstr>
      <vt:lpstr>Planilha</vt:lpstr>
      <vt:lpstr>Plan1</vt:lpstr>
      <vt:lpstr>Plan1!Area_de_impressao</vt:lpstr>
      <vt:lpstr>Planilha!Area_de_impressao</vt:lpstr>
      <vt:lpstr>Planilha!Titulos_de_impressao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Usuário</cp:lastModifiedBy>
  <cp:lastPrinted>2019-03-21T11:11:26Z</cp:lastPrinted>
  <dcterms:created xsi:type="dcterms:W3CDTF">2012-10-15T18:57:41Z</dcterms:created>
  <dcterms:modified xsi:type="dcterms:W3CDTF">2019-03-21T17:47:42Z</dcterms:modified>
</cp:coreProperties>
</file>